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760"/>
  </bookViews>
  <sheets>
    <sheet name="110518 Update" sheetId="13" r:id="rId1"/>
    <sheet name="Ballfield Unit Pricing" sheetId="14" r:id="rId2"/>
    <sheet name="Irrigation Demand" sheetId="6" state="hidden" r:id="rId3"/>
    <sheet name="Final" sheetId="1" state="hidden" r:id="rId4"/>
    <sheet name="Alt1" sheetId="4" state="hidden" r:id="rId5"/>
    <sheet name="Ballfield Costs" sheetId="2" state="hidden" r:id="rId6"/>
  </sheets>
  <definedNames>
    <definedName name="_xlnm.Print_Area" localSheetId="0">'110518 Update'!$C$1:$L$86</definedName>
    <definedName name="_xlnm.Print_Area" localSheetId="4">'Alt1'!$A$1:$G$59</definedName>
    <definedName name="_xlnm.Print_Area" localSheetId="1">'Ballfield Unit Pricing'!$A$1:$F$99</definedName>
    <definedName name="_xlnm.Print_Area" localSheetId="3">Final!$A$1:$G$64</definedName>
    <definedName name="_xlnm.Print_Titles" localSheetId="0">'110518 Update'!$1:$1</definedName>
    <definedName name="_xlnm.Print_Titles" localSheetId="4">'Alt1'!$1:$1</definedName>
    <definedName name="_xlnm.Print_Titles" localSheetId="3">Final!$1:$1</definedName>
  </definedNames>
  <calcPr calcId="125725"/>
</workbook>
</file>

<file path=xl/calcChain.xml><?xml version="1.0" encoding="utf-8"?>
<calcChain xmlns="http://schemas.openxmlformats.org/spreadsheetml/2006/main">
  <c r="K85" i="13"/>
  <c r="J77"/>
  <c r="J68"/>
  <c r="J37"/>
  <c r="J24"/>
  <c r="J9"/>
  <c r="J56"/>
  <c r="J57" s="1"/>
  <c r="J45"/>
  <c r="J50" s="1"/>
  <c r="G56"/>
  <c r="F55"/>
  <c r="G54"/>
  <c r="H54" s="1"/>
  <c r="F53"/>
  <c r="F45"/>
  <c r="F44"/>
  <c r="F42"/>
  <c r="F41"/>
  <c r="J80" l="1"/>
  <c r="J83" s="1"/>
  <c r="J85" s="1"/>
  <c r="E84" i="14"/>
  <c r="E94"/>
  <c r="E93"/>
  <c r="E92"/>
  <c r="E91"/>
  <c r="E90"/>
  <c r="E89"/>
  <c r="E82"/>
  <c r="E81"/>
  <c r="E80"/>
  <c r="E79"/>
  <c r="E78"/>
  <c r="E77"/>
  <c r="E5"/>
  <c r="E33"/>
  <c r="E32"/>
  <c r="E31"/>
  <c r="E30"/>
  <c r="E29"/>
  <c r="E28"/>
  <c r="E27"/>
  <c r="E26"/>
  <c r="E25"/>
  <c r="E24"/>
  <c r="E23"/>
  <c r="E22"/>
  <c r="E8"/>
  <c r="E7"/>
  <c r="E68"/>
  <c r="E49"/>
  <c r="E60"/>
  <c r="E70"/>
  <c r="E69"/>
  <c r="E67"/>
  <c r="E66"/>
  <c r="E65"/>
  <c r="E64"/>
  <c r="E63"/>
  <c r="E62"/>
  <c r="E61"/>
  <c r="E59"/>
  <c r="E58"/>
  <c r="E51"/>
  <c r="E50"/>
  <c r="E48"/>
  <c r="E47"/>
  <c r="E46"/>
  <c r="E45"/>
  <c r="E44"/>
  <c r="E43"/>
  <c r="E42"/>
  <c r="E41"/>
  <c r="E40"/>
  <c r="E15"/>
  <c r="E14"/>
  <c r="E13"/>
  <c r="E12"/>
  <c r="E11"/>
  <c r="E10"/>
  <c r="E9"/>
  <c r="E6"/>
  <c r="E4"/>
  <c r="E3"/>
  <c r="E95" l="1"/>
  <c r="E83"/>
  <c r="E86" s="1"/>
  <c r="E16"/>
  <c r="E17" s="1"/>
  <c r="E34"/>
  <c r="E71"/>
  <c r="E52"/>
  <c r="E53" s="1"/>
  <c r="E96" l="1"/>
  <c r="E98" s="1"/>
  <c r="E35"/>
  <c r="E37" s="1"/>
  <c r="E72"/>
  <c r="E74" s="1"/>
  <c r="E19"/>
  <c r="F40" i="13" s="1"/>
  <c r="E55" i="14"/>
  <c r="G75" i="13"/>
  <c r="G35"/>
  <c r="G36"/>
  <c r="G32"/>
  <c r="G48"/>
  <c r="G49"/>
  <c r="I48" l="1"/>
  <c r="H48"/>
  <c r="I32"/>
  <c r="H32"/>
  <c r="I36"/>
  <c r="H36"/>
  <c r="I75"/>
  <c r="H75"/>
  <c r="H49"/>
  <c r="H35"/>
  <c r="I35"/>
  <c r="G13"/>
  <c r="G14"/>
  <c r="G20"/>
  <c r="I20" l="1"/>
  <c r="H20"/>
  <c r="I14"/>
  <c r="H14"/>
  <c r="I13"/>
  <c r="H13"/>
  <c r="G19"/>
  <c r="G45"/>
  <c r="G18"/>
  <c r="G15"/>
  <c r="I19" l="1"/>
  <c r="H19"/>
  <c r="I15"/>
  <c r="H15"/>
  <c r="I18"/>
  <c r="H18"/>
  <c r="G62"/>
  <c r="M40"/>
  <c r="G40"/>
  <c r="M41"/>
  <c r="G41"/>
  <c r="M42"/>
  <c r="G42"/>
  <c r="I42" l="1"/>
  <c r="H42"/>
  <c r="I40"/>
  <c r="H40"/>
  <c r="H41"/>
  <c r="H62"/>
  <c r="G7"/>
  <c r="I7" l="1"/>
  <c r="H7"/>
  <c r="G76" l="1"/>
  <c r="G67"/>
  <c r="G66"/>
  <c r="G65"/>
  <c r="G64"/>
  <c r="G63"/>
  <c r="G74"/>
  <c r="G73"/>
  <c r="G72"/>
  <c r="M71"/>
  <c r="G71"/>
  <c r="G61"/>
  <c r="G60"/>
  <c r="G55"/>
  <c r="G53"/>
  <c r="M47"/>
  <c r="G47"/>
  <c r="G46"/>
  <c r="M44"/>
  <c r="G44"/>
  <c r="M43"/>
  <c r="G43"/>
  <c r="G34"/>
  <c r="M33"/>
  <c r="G33"/>
  <c r="G31"/>
  <c r="M30"/>
  <c r="G30"/>
  <c r="M29"/>
  <c r="G29"/>
  <c r="M28"/>
  <c r="G28"/>
  <c r="M27"/>
  <c r="G27"/>
  <c r="G23"/>
  <c r="G22"/>
  <c r="G21"/>
  <c r="G17"/>
  <c r="G16"/>
  <c r="G12"/>
  <c r="G8"/>
  <c r="G6"/>
  <c r="G5"/>
  <c r="G4"/>
  <c r="G3"/>
  <c r="I5" l="1"/>
  <c r="H5"/>
  <c r="I16"/>
  <c r="H16"/>
  <c r="I23"/>
  <c r="H23"/>
  <c r="I34"/>
  <c r="H34"/>
  <c r="I61"/>
  <c r="H61"/>
  <c r="I73"/>
  <c r="H73"/>
  <c r="I65"/>
  <c r="H65"/>
  <c r="I6"/>
  <c r="H6"/>
  <c r="H17"/>
  <c r="I17"/>
  <c r="I27"/>
  <c r="H27"/>
  <c r="G37"/>
  <c r="H29"/>
  <c r="I31"/>
  <c r="H31"/>
  <c r="I43"/>
  <c r="H43"/>
  <c r="H46"/>
  <c r="I57"/>
  <c r="H53"/>
  <c r="G57"/>
  <c r="I71"/>
  <c r="H71"/>
  <c r="I74"/>
  <c r="H74"/>
  <c r="I66"/>
  <c r="H66"/>
  <c r="I3"/>
  <c r="H3"/>
  <c r="G9"/>
  <c r="I8"/>
  <c r="H8"/>
  <c r="I21"/>
  <c r="H21"/>
  <c r="I33"/>
  <c r="H33"/>
  <c r="H47"/>
  <c r="I63"/>
  <c r="H63"/>
  <c r="H67"/>
  <c r="I67"/>
  <c r="I4"/>
  <c r="H4"/>
  <c r="I12"/>
  <c r="H12"/>
  <c r="I22"/>
  <c r="H22"/>
  <c r="H28"/>
  <c r="I30"/>
  <c r="H30"/>
  <c r="H44"/>
  <c r="I60"/>
  <c r="H60"/>
  <c r="G68"/>
  <c r="H72"/>
  <c r="I64"/>
  <c r="H64"/>
  <c r="H76"/>
  <c r="G50"/>
  <c r="G77"/>
  <c r="G24"/>
  <c r="M79"/>
  <c r="I68" l="1"/>
  <c r="I9"/>
  <c r="H77"/>
  <c r="I50"/>
  <c r="I77"/>
  <c r="I24"/>
  <c r="H68"/>
  <c r="I37"/>
  <c r="H9"/>
  <c r="H37"/>
  <c r="H24"/>
  <c r="H57"/>
  <c r="H50"/>
  <c r="G80"/>
  <c r="G81" s="1"/>
  <c r="H80" l="1"/>
  <c r="H83" s="1"/>
  <c r="I80"/>
  <c r="I83" s="1"/>
  <c r="G82"/>
  <c r="G83"/>
  <c r="H85" l="1"/>
  <c r="H87" s="1"/>
  <c r="I85"/>
  <c r="I87" s="1"/>
  <c r="G85"/>
  <c r="D32" i="6" l="1"/>
  <c r="D31"/>
  <c r="D30"/>
  <c r="D33" l="1"/>
  <c r="D34" s="1"/>
  <c r="D35" s="1"/>
  <c r="E38" s="1"/>
  <c r="E39" s="1"/>
  <c r="E40" s="1"/>
  <c r="E41" s="1"/>
  <c r="D6"/>
  <c r="D7"/>
  <c r="D5"/>
  <c r="D8" l="1"/>
  <c r="D9" s="1"/>
  <c r="D10" s="1"/>
  <c r="E13" s="1"/>
  <c r="E14" s="1"/>
  <c r="E21" s="1"/>
  <c r="E22" s="1"/>
  <c r="E43"/>
  <c r="E44" s="1"/>
  <c r="E46"/>
  <c r="E47" s="1"/>
  <c r="E15" l="1"/>
  <c r="E16" s="1"/>
  <c r="E18"/>
  <c r="E19" s="1"/>
  <c r="H20" i="2"/>
  <c r="F25"/>
  <c r="F24"/>
  <c r="F23"/>
  <c r="F21"/>
  <c r="F20"/>
  <c r="F19"/>
  <c r="F18"/>
  <c r="F17"/>
  <c r="F31"/>
  <c r="F32"/>
  <c r="F33"/>
  <c r="F34"/>
  <c r="F35"/>
  <c r="F36"/>
  <c r="F6"/>
  <c r="F3"/>
  <c r="F4"/>
  <c r="F5"/>
  <c r="F8"/>
  <c r="F9"/>
  <c r="F10"/>
  <c r="F2"/>
  <c r="F26" l="1"/>
  <c r="F22"/>
  <c r="F28" s="1"/>
  <c r="F37"/>
  <c r="F11"/>
  <c r="F7"/>
  <c r="F13" l="1"/>
  <c r="G58" i="4"/>
  <c r="G57"/>
  <c r="G56"/>
  <c r="G55"/>
  <c r="G54"/>
  <c r="G53"/>
  <c r="G47"/>
  <c r="G46"/>
  <c r="B45"/>
  <c r="G45" s="1"/>
  <c r="G44"/>
  <c r="G43"/>
  <c r="G42"/>
  <c r="G41"/>
  <c r="G40"/>
  <c r="G39"/>
  <c r="F34"/>
  <c r="F33"/>
  <c r="F32"/>
  <c r="F31"/>
  <c r="F30"/>
  <c r="F29"/>
  <c r="F28"/>
  <c r="F27"/>
  <c r="F26"/>
  <c r="F25"/>
  <c r="F24"/>
  <c r="F23"/>
  <c r="F22"/>
  <c r="F21"/>
  <c r="F20"/>
  <c r="E15"/>
  <c r="E14"/>
  <c r="E13"/>
  <c r="E12"/>
  <c r="E11"/>
  <c r="E10"/>
  <c r="E9"/>
  <c r="E8"/>
  <c r="E7"/>
  <c r="E6"/>
  <c r="E5"/>
  <c r="E4"/>
  <c r="E3"/>
  <c r="G44" i="1"/>
  <c r="F26"/>
  <c r="E10"/>
  <c r="E11"/>
  <c r="D48" i="4" l="1"/>
  <c r="G48" s="1"/>
  <c r="F36"/>
  <c r="D35"/>
  <c r="F35" s="1"/>
  <c r="G59"/>
  <c r="D16"/>
  <c r="E16" s="1"/>
  <c r="E18" s="1"/>
  <c r="E51" s="1"/>
  <c r="G46" i="1"/>
  <c r="G47"/>
  <c r="G48"/>
  <c r="G49" i="4" l="1"/>
  <c r="G50" s="1"/>
  <c r="G51" s="1"/>
  <c r="F37"/>
  <c r="F51" s="1"/>
  <c r="F24" i="1"/>
  <c r="G51" l="1"/>
  <c r="G62"/>
  <c r="E6"/>
  <c r="E9" l="1"/>
  <c r="B50" l="1"/>
  <c r="F33" l="1"/>
  <c r="F34" l="1"/>
  <c r="G52"/>
  <c r="G50"/>
  <c r="G61"/>
  <c r="G60"/>
  <c r="G59"/>
  <c r="G58"/>
  <c r="G63"/>
  <c r="G49"/>
  <c r="G45"/>
  <c r="G43"/>
  <c r="G42"/>
  <c r="G41"/>
  <c r="G40"/>
  <c r="G39"/>
  <c r="D53" l="1"/>
  <c r="G64"/>
  <c r="F20"/>
  <c r="F21"/>
  <c r="F22"/>
  <c r="F23"/>
  <c r="F25"/>
  <c r="F27"/>
  <c r="F28"/>
  <c r="F29"/>
  <c r="F30"/>
  <c r="F32"/>
  <c r="E15"/>
  <c r="E14"/>
  <c r="E13"/>
  <c r="E12"/>
  <c r="F31"/>
  <c r="E8"/>
  <c r="E7"/>
  <c r="E5"/>
  <c r="E4"/>
  <c r="E3"/>
  <c r="H16" l="1"/>
  <c r="H17" s="1"/>
  <c r="D35"/>
  <c r="F35" s="1"/>
  <c r="F36"/>
  <c r="D16"/>
  <c r="E16" s="1"/>
  <c r="G53"/>
  <c r="G54" s="1"/>
  <c r="F37" l="1"/>
  <c r="F56" s="1"/>
  <c r="E18"/>
  <c r="E56" s="1"/>
  <c r="G55" l="1"/>
  <c r="G56" s="1"/>
</calcChain>
</file>

<file path=xl/comments1.xml><?xml version="1.0" encoding="utf-8"?>
<comments xmlns="http://schemas.openxmlformats.org/spreadsheetml/2006/main">
  <authors>
    <author>Patrick N. Graham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Adjusted price in relation to Macomber field pricing.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Rincon Macomber
~$200k/field (220')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Adjusted pricing in relation to Macomber field pricing.</t>
        </r>
      </text>
    </comment>
  </commentList>
</comments>
</file>

<file path=xl/comments2.xml><?xml version="1.0" encoding="utf-8"?>
<comments xmlns="http://schemas.openxmlformats.org/spreadsheetml/2006/main">
  <authors>
    <author>Patrick N. Graham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Adjusted price in relation to Macomber field pricing.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Rincon Macomber
~$200k/field (220')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Patrick N. Graham:</t>
        </r>
        <r>
          <rPr>
            <sz val="9"/>
            <color indexed="81"/>
            <rFont val="Tahoma"/>
            <family val="2"/>
          </rPr>
          <t xml:space="preserve">
Adjusted pricing in relation to Macomber field pricing.</t>
        </r>
      </text>
    </comment>
  </commentList>
</comments>
</file>

<file path=xl/sharedStrings.xml><?xml version="1.0" encoding="utf-8"?>
<sst xmlns="http://schemas.openxmlformats.org/spreadsheetml/2006/main" count="671" uniqueCount="231">
  <si>
    <t>QTY</t>
  </si>
  <si>
    <t>UNIT</t>
  </si>
  <si>
    <t>PHASE 1</t>
  </si>
  <si>
    <t>LS</t>
  </si>
  <si>
    <t>SF</t>
  </si>
  <si>
    <t>Maintenance Storage Building</t>
  </si>
  <si>
    <t>EA</t>
  </si>
  <si>
    <t>Signage &amp; Landscaping</t>
  </si>
  <si>
    <t>TOTAL PHASE 1</t>
  </si>
  <si>
    <t>PHASE 2</t>
  </si>
  <si>
    <t>Dog Park</t>
  </si>
  <si>
    <t>Splash Pad</t>
  </si>
  <si>
    <t>Skate Park</t>
  </si>
  <si>
    <t>Picnic Pavillion</t>
  </si>
  <si>
    <t>Community Center</t>
  </si>
  <si>
    <t>Gravel Parking per Space</t>
  </si>
  <si>
    <t>Sitework Allowance</t>
  </si>
  <si>
    <t>AC</t>
  </si>
  <si>
    <t>PHASE 3</t>
  </si>
  <si>
    <t>315' Baseball Field, 90' Bases - Field Only</t>
  </si>
  <si>
    <t>315' Baseball Field, 90' Bases - Lights</t>
  </si>
  <si>
    <t>315' Softball Field, 80' Bases - Field Only</t>
  </si>
  <si>
    <t>315' Softball Field, 80' Bases - Lights</t>
  </si>
  <si>
    <t>Pressbox, Concessions &amp; Restrooms (assumed AC)</t>
  </si>
  <si>
    <t>Lightning Warning System</t>
  </si>
  <si>
    <t>UNIT COST</t>
  </si>
  <si>
    <t>ITEM</t>
  </si>
  <si>
    <t>TOTALS</t>
  </si>
  <si>
    <t>PHASE 1 COST</t>
  </si>
  <si>
    <t>PHASE 2 COST</t>
  </si>
  <si>
    <t>PHASE 3 COST</t>
  </si>
  <si>
    <t>Picnic Pavilion</t>
  </si>
  <si>
    <t>OPTIONAL AMENITIES</t>
  </si>
  <si>
    <t>6' Wide Walking Trail</t>
  </si>
  <si>
    <t>Covered Bleachers (2 per baseball/softball field)</t>
  </si>
  <si>
    <t>335' Baseball Field, 90' bases - Field Only</t>
  </si>
  <si>
    <t>225' Softball Field, 70' bases - Field Only</t>
  </si>
  <si>
    <t>Lighting - 5 Field Complex</t>
  </si>
  <si>
    <t>Sitework Allowance (clearing, grading, utilities, etc.)</t>
  </si>
  <si>
    <t>160' x 360' Football - Field Only</t>
  </si>
  <si>
    <t>225' x 360' Soccer - Field Only</t>
  </si>
  <si>
    <t>Football Restrooms/Concessions</t>
  </si>
  <si>
    <t>Large Playground - ADA features, fenced</t>
  </si>
  <si>
    <t>225' x 360' Soccer - Lights</t>
  </si>
  <si>
    <t>160' x 360' Football - Lights</t>
  </si>
  <si>
    <t>Soft Costs (10% of Phase Total)</t>
  </si>
  <si>
    <t>Gymnasium (2-court)</t>
  </si>
  <si>
    <t>Contingency (10%)</t>
  </si>
  <si>
    <t>Batting Cages (assumed tunnels w/ netting)</t>
  </si>
  <si>
    <t>Contingency</t>
  </si>
  <si>
    <t>TOTAL PHASE 2*</t>
  </si>
  <si>
    <t>TOTAL PHASE 3*</t>
  </si>
  <si>
    <t>TOTAL OPTIONAL AMENITIES*</t>
  </si>
  <si>
    <t>*Phase 2 &amp; 3 costs and option amenity costs are shown in today's (2015) dollars.</t>
  </si>
  <si>
    <t>Site Work</t>
  </si>
  <si>
    <t>Clearing and Grubbing</t>
  </si>
  <si>
    <t>Erosion and Sediment Control</t>
  </si>
  <si>
    <t>Sidewalks</t>
  </si>
  <si>
    <t>Sitework Subtotal</t>
  </si>
  <si>
    <t>225' Ball Field</t>
  </si>
  <si>
    <t>Sports Fields</t>
  </si>
  <si>
    <t>Sports Fields Subtotal</t>
  </si>
  <si>
    <t>Sports Field Lighting</t>
  </si>
  <si>
    <t>Sports Field Lighting Subtotal</t>
  </si>
  <si>
    <t>Buildings</t>
  </si>
  <si>
    <t>Buildings Subtotal</t>
  </si>
  <si>
    <t>Park Amenities</t>
  </si>
  <si>
    <t>LF</t>
  </si>
  <si>
    <t>Park Amenities Subtotal</t>
  </si>
  <si>
    <t>SY</t>
  </si>
  <si>
    <t>30 fc</t>
  </si>
  <si>
    <t>COMMENTS</t>
  </si>
  <si>
    <t>Soft Costs</t>
  </si>
  <si>
    <t>Total Project Cost</t>
  </si>
  <si>
    <t>Project Subtotal</t>
  </si>
  <si>
    <t>Design, Permitting, Geotech</t>
  </si>
  <si>
    <t>Summary/Contingency/Soft Costs</t>
  </si>
  <si>
    <t>8' ht. Ball Fence</t>
  </si>
  <si>
    <t>Grass</t>
  </si>
  <si>
    <t>Infield Skin</t>
  </si>
  <si>
    <t>Backstop</t>
  </si>
  <si>
    <t>Fine Grading</t>
  </si>
  <si>
    <t>Dugouts</t>
  </si>
  <si>
    <t>800 SF</t>
  </si>
  <si>
    <t>Rootzone</t>
  </si>
  <si>
    <t>Irrigation</t>
  </si>
  <si>
    <t>SCY</t>
  </si>
  <si>
    <t>Amended Topsoil</t>
  </si>
  <si>
    <t>325' Ball Field</t>
  </si>
  <si>
    <t>Multi-purpose Field</t>
  </si>
  <si>
    <t>CY</t>
  </si>
  <si>
    <t>Endline Fencing</t>
  </si>
  <si>
    <t>Ball Nets</t>
  </si>
  <si>
    <t>325' Ballfield Total</t>
  </si>
  <si>
    <t xml:space="preserve"> </t>
  </si>
  <si>
    <t xml:space="preserve">   </t>
  </si>
  <si>
    <t>225' Ballfield Total</t>
  </si>
  <si>
    <t>Utilities</t>
  </si>
  <si>
    <t>Earthwork Subtotal</t>
  </si>
  <si>
    <t>Utilities Subtotal</t>
  </si>
  <si>
    <t>Grass Area</t>
  </si>
  <si>
    <t>325' Field</t>
  </si>
  <si>
    <t>225' Field</t>
  </si>
  <si>
    <t>Number of Fields</t>
  </si>
  <si>
    <t>Multipurpose</t>
  </si>
  <si>
    <t>Total Irrigated Field Area</t>
  </si>
  <si>
    <t>Gallons/Week</t>
  </si>
  <si>
    <t>Gallons/Day</t>
  </si>
  <si>
    <t>Gallons/Hour</t>
  </si>
  <si>
    <t>GPM</t>
  </si>
  <si>
    <t>16 hour recharge rate</t>
  </si>
  <si>
    <t>8 hour recharge rate</t>
  </si>
  <si>
    <t xml:space="preserve">CF </t>
  </si>
  <si>
    <t>Storage per day</t>
  </si>
  <si>
    <t>24 hour recharge rate</t>
  </si>
  <si>
    <t>Storage per week</t>
  </si>
  <si>
    <t>Acres</t>
  </si>
  <si>
    <t>1.5" of water/week (27,154/gal. per acre)</t>
  </si>
  <si>
    <t>Effingham County Recreation and Parks Central Sports Complex</t>
  </si>
  <si>
    <t>Master Plan</t>
  </si>
  <si>
    <t>Phase 1</t>
  </si>
  <si>
    <t>Seed Disturbed Areas</t>
  </si>
  <si>
    <t>Assumes completed by developer</t>
  </si>
  <si>
    <t>Storm Water Treatment</t>
  </si>
  <si>
    <t>Earthwork</t>
  </si>
  <si>
    <t>Water Supply</t>
  </si>
  <si>
    <t>Electric service</t>
  </si>
  <si>
    <t>Roadway/parking lot lighting</t>
  </si>
  <si>
    <t>Curb and gutter</t>
  </si>
  <si>
    <t>Asphalt drive</t>
  </si>
  <si>
    <t>Asphalt parking</t>
  </si>
  <si>
    <t>Parking and roadway striping</t>
  </si>
  <si>
    <t>Multipurpose field</t>
  </si>
  <si>
    <t>Bleachers</t>
  </si>
  <si>
    <t>Batting cage</t>
  </si>
  <si>
    <t>3 tunnels, covered</t>
  </si>
  <si>
    <t>Baseball</t>
  </si>
  <si>
    <t xml:space="preserve">Maintenance </t>
  </si>
  <si>
    <t>Walking trail</t>
  </si>
  <si>
    <t>Playground</t>
  </si>
  <si>
    <t>Signage</t>
  </si>
  <si>
    <t>Design Contingency</t>
  </si>
  <si>
    <t>Construction Contingency</t>
  </si>
  <si>
    <t>Does not include bringing 3-phase power to site</t>
  </si>
  <si>
    <t>5% Construction Contingency</t>
  </si>
  <si>
    <t>By Developer</t>
  </si>
  <si>
    <t>Retaining Wall</t>
  </si>
  <si>
    <t>Concession / Restroom - Soccer</t>
  </si>
  <si>
    <t>Concession / Restroom - Baseball</t>
  </si>
  <si>
    <t>Historic House - Painting</t>
  </si>
  <si>
    <t>Historic House-Remove Addition</t>
  </si>
  <si>
    <t>Remove and Fill Pool</t>
  </si>
  <si>
    <t>House Landscaping</t>
  </si>
  <si>
    <t>Earthwork (cut to fill)</t>
  </si>
  <si>
    <t>Earthwork  (fine grade)</t>
  </si>
  <si>
    <t>Maintenance Yard</t>
  </si>
  <si>
    <t>350' baseball</t>
  </si>
  <si>
    <t>300' baseball/softball</t>
  </si>
  <si>
    <t>225' baseball</t>
  </si>
  <si>
    <t>225' baseball/softball</t>
  </si>
  <si>
    <t>Irrigation Supply/General Irrigation</t>
  </si>
  <si>
    <t>Baseball/Softball Team Storage</t>
  </si>
  <si>
    <t>Storm Drainage Structures</t>
  </si>
  <si>
    <t>Storm Drainage Pipe</t>
  </si>
  <si>
    <t>Sanitary Sewer Pipe</t>
  </si>
  <si>
    <t>Sanitary Sewer Structures</t>
  </si>
  <si>
    <t>Does not include pump station/force main</t>
  </si>
  <si>
    <t>Guardrail</t>
  </si>
  <si>
    <t>Water Main</t>
  </si>
  <si>
    <t>Practice field</t>
  </si>
  <si>
    <t>Shrubs</t>
  </si>
  <si>
    <t>Trees</t>
  </si>
  <si>
    <t>Creeper Trail Buffer</t>
  </si>
  <si>
    <t>Dumpster Enclosure</t>
  </si>
  <si>
    <t>Storm Drainage Basins</t>
  </si>
  <si>
    <t>Nyloplast</t>
  </si>
  <si>
    <t>Storm Drainage Inlets</t>
  </si>
  <si>
    <t>Precast</t>
  </si>
  <si>
    <t>CI, Manhole</t>
  </si>
  <si>
    <t>Sanitary Sewer Service</t>
  </si>
  <si>
    <t>50 seats each. Baseball</t>
  </si>
  <si>
    <t>Ball Stop Netting</t>
  </si>
  <si>
    <t>Scoreboards</t>
  </si>
  <si>
    <t>614,244 sf</t>
  </si>
  <si>
    <t>6'-0" Ht. Fence</t>
  </si>
  <si>
    <t>3'-6" Ht. Fence</t>
  </si>
  <si>
    <t>North end between parking and soccer/spray pad</t>
  </si>
  <si>
    <t xml:space="preserve">3" Cal. </t>
  </si>
  <si>
    <t>4% Design Contingency</t>
  </si>
  <si>
    <t xml:space="preserve">Description </t>
  </si>
  <si>
    <t>Unit</t>
  </si>
  <si>
    <t xml:space="preserve">Quantity </t>
  </si>
  <si>
    <t>Unit Price</t>
  </si>
  <si>
    <t>Cost</t>
  </si>
  <si>
    <t>Notes</t>
  </si>
  <si>
    <t>Infield Mix</t>
  </si>
  <si>
    <t>Warning Track Mix</t>
  </si>
  <si>
    <t>Drainage Pipe 6"</t>
  </si>
  <si>
    <t>Drainage Structures</t>
  </si>
  <si>
    <t>Dugout</t>
  </si>
  <si>
    <t>Outfield Fence</t>
  </si>
  <si>
    <t>6' HT</t>
  </si>
  <si>
    <t>Bullpen Mound</t>
  </si>
  <si>
    <t>GC Mark-up</t>
  </si>
  <si>
    <t>Drainage Pipe 4"</t>
  </si>
  <si>
    <t>Group Subtotal</t>
  </si>
  <si>
    <t>6' Ht. black vinyl chainlink fence</t>
  </si>
  <si>
    <t>Sod</t>
  </si>
  <si>
    <t>3.0 Softball Playing Fields - 225'</t>
  </si>
  <si>
    <t>8" depth</t>
  </si>
  <si>
    <t>Pitching Mound Mix</t>
  </si>
  <si>
    <t>Local material</t>
  </si>
  <si>
    <t>1.0 Baseball Playing Fields - 300'/350'</t>
  </si>
  <si>
    <t>2.0 Softball Playing Fields - 300'</t>
  </si>
  <si>
    <t>4.0 Baseball Playing Fields - 225'</t>
  </si>
  <si>
    <t>5.0 Mulitpurpose Fields</t>
  </si>
  <si>
    <t>Curb, mound mix, warning track material.</t>
  </si>
  <si>
    <t>6.0 Practice Field</t>
  </si>
  <si>
    <t>8" depth, no amendments</t>
  </si>
  <si>
    <t>Baseball Conduit</t>
  </si>
  <si>
    <t>Multipurpose Conduit</t>
  </si>
  <si>
    <t>20% of $250K</t>
  </si>
  <si>
    <t>50 fc infield/30 fc outfield (80% of $250K)</t>
  </si>
  <si>
    <t>TOTAL PROJECT</t>
  </si>
  <si>
    <t>FULL BUILD OPTION</t>
  </si>
  <si>
    <t>PHASE OPTION</t>
  </si>
  <si>
    <t>Phase 2</t>
  </si>
  <si>
    <t>Grant Funds</t>
  </si>
  <si>
    <t>Grant Reduced Total</t>
  </si>
  <si>
    <t>Baseball Lights</t>
  </si>
  <si>
    <t>Multipurpose Field Lights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</si>
</sst>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165" fontId="0" fillId="0" borderId="12" xfId="1" applyNumberFormat="1" applyFont="1" applyBorder="1" applyAlignment="1"/>
    <xf numFmtId="165" fontId="0" fillId="0" borderId="10" xfId="1" applyNumberFormat="1" applyFont="1" applyBorder="1" applyAlignment="1"/>
    <xf numFmtId="165" fontId="0" fillId="2" borderId="6" xfId="1" applyNumberFormat="1" applyFont="1" applyFill="1" applyBorder="1" applyAlignment="1"/>
    <xf numFmtId="0" fontId="0" fillId="0" borderId="1" xfId="0" applyBorder="1" applyAlignment="1"/>
    <xf numFmtId="166" fontId="0" fillId="0" borderId="12" xfId="2" applyNumberFormat="1" applyFont="1" applyBorder="1" applyAlignment="1">
      <alignment horizontal="right"/>
    </xf>
    <xf numFmtId="166" fontId="0" fillId="0" borderId="10" xfId="2" applyNumberFormat="1" applyFont="1" applyBorder="1" applyAlignment="1">
      <alignment horizontal="right"/>
    </xf>
    <xf numFmtId="166" fontId="0" fillId="2" borderId="6" xfId="2" applyNumberFormat="1" applyFont="1" applyFill="1" applyBorder="1" applyAlignment="1">
      <alignment horizontal="right"/>
    </xf>
    <xf numFmtId="166" fontId="0" fillId="2" borderId="13" xfId="2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3" borderId="15" xfId="0" applyFont="1" applyFill="1" applyBorder="1" applyAlignment="1">
      <alignment horizontal="center" wrapText="1"/>
    </xf>
    <xf numFmtId="164" fontId="1" fillId="3" borderId="15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6" fontId="1" fillId="2" borderId="16" xfId="2" applyNumberFormat="1" applyFont="1" applyFill="1" applyBorder="1" applyAlignment="1">
      <alignment horizontal="right"/>
    </xf>
    <xf numFmtId="0" fontId="0" fillId="0" borderId="17" xfId="0" applyBorder="1"/>
    <xf numFmtId="165" fontId="0" fillId="0" borderId="17" xfId="1" applyNumberFormat="1" applyFont="1" applyBorder="1" applyAlignment="1"/>
    <xf numFmtId="0" fontId="0" fillId="0" borderId="17" xfId="0" applyBorder="1" applyAlignment="1">
      <alignment horizontal="center"/>
    </xf>
    <xf numFmtId="166" fontId="0" fillId="0" borderId="17" xfId="2" applyNumberFormat="1" applyFont="1" applyBorder="1" applyAlignment="1">
      <alignment horizontal="right"/>
    </xf>
    <xf numFmtId="165" fontId="1" fillId="0" borderId="18" xfId="1" applyNumberFormat="1" applyFont="1" applyBorder="1" applyAlignment="1"/>
    <xf numFmtId="0" fontId="1" fillId="0" borderId="18" xfId="0" applyFont="1" applyBorder="1" applyAlignment="1">
      <alignment horizontal="center"/>
    </xf>
    <xf numFmtId="166" fontId="1" fillId="0" borderId="18" xfId="2" applyNumberFormat="1" applyFont="1" applyBorder="1" applyAlignment="1">
      <alignment horizontal="right"/>
    </xf>
    <xf numFmtId="166" fontId="0" fillId="0" borderId="20" xfId="2" applyNumberFormat="1" applyFont="1" applyBorder="1" applyAlignment="1">
      <alignment horizontal="right"/>
    </xf>
    <xf numFmtId="166" fontId="0" fillId="0" borderId="21" xfId="2" applyNumberFormat="1" applyFont="1" applyBorder="1" applyAlignment="1">
      <alignment horizontal="right"/>
    </xf>
    <xf numFmtId="0" fontId="1" fillId="0" borderId="18" xfId="0" applyFont="1" applyBorder="1"/>
    <xf numFmtId="166" fontId="1" fillId="0" borderId="23" xfId="2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0" fillId="2" borderId="16" xfId="0" applyFill="1" applyBorder="1" applyAlignment="1"/>
    <xf numFmtId="0" fontId="0" fillId="2" borderId="16" xfId="0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66" fontId="1" fillId="2" borderId="25" xfId="2" applyNumberFormat="1" applyFont="1" applyFill="1" applyBorder="1" applyAlignment="1">
      <alignment horizontal="right"/>
    </xf>
    <xf numFmtId="164" fontId="1" fillId="3" borderId="27" xfId="0" applyNumberFormat="1" applyFont="1" applyFill="1" applyBorder="1" applyAlignment="1">
      <alignment horizontal="center" wrapText="1"/>
    </xf>
    <xf numFmtId="164" fontId="1" fillId="3" borderId="26" xfId="0" applyNumberFormat="1" applyFont="1" applyFill="1" applyBorder="1" applyAlignment="1">
      <alignment horizontal="center" wrapText="1"/>
    </xf>
    <xf numFmtId="166" fontId="0" fillId="0" borderId="28" xfId="2" applyNumberFormat="1" applyFont="1" applyBorder="1" applyAlignment="1">
      <alignment horizontal="right"/>
    </xf>
    <xf numFmtId="0" fontId="1" fillId="2" borderId="29" xfId="0" applyFont="1" applyFill="1" applyBorder="1" applyAlignment="1">
      <alignment horizontal="left"/>
    </xf>
    <xf numFmtId="0" fontId="0" fillId="2" borderId="30" xfId="0" applyFill="1" applyBorder="1" applyAlignment="1"/>
    <xf numFmtId="0" fontId="0" fillId="2" borderId="30" xfId="0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right"/>
    </xf>
    <xf numFmtId="166" fontId="1" fillId="2" borderId="30" xfId="2" applyNumberFormat="1" applyFont="1" applyFill="1" applyBorder="1" applyAlignment="1">
      <alignment horizontal="right"/>
    </xf>
    <xf numFmtId="166" fontId="1" fillId="2" borderId="31" xfId="2" applyNumberFormat="1" applyFont="1" applyFill="1" applyBorder="1" applyAlignment="1">
      <alignment horizontal="right"/>
    </xf>
    <xf numFmtId="0" fontId="1" fillId="0" borderId="33" xfId="0" applyFont="1" applyBorder="1"/>
    <xf numFmtId="165" fontId="1" fillId="0" borderId="33" xfId="1" applyNumberFormat="1" applyFont="1" applyBorder="1" applyAlignment="1"/>
    <xf numFmtId="0" fontId="1" fillId="0" borderId="33" xfId="0" applyFont="1" applyBorder="1" applyAlignment="1">
      <alignment horizontal="center"/>
    </xf>
    <xf numFmtId="164" fontId="1" fillId="0" borderId="33" xfId="0" applyNumberFormat="1" applyFont="1" applyBorder="1" applyAlignment="1">
      <alignment horizontal="right"/>
    </xf>
    <xf numFmtId="166" fontId="1" fillId="0" borderId="33" xfId="2" applyNumberFormat="1" applyFont="1" applyBorder="1" applyAlignment="1">
      <alignment horizontal="right"/>
    </xf>
    <xf numFmtId="166" fontId="1" fillId="0" borderId="34" xfId="2" applyNumberFormat="1" applyFont="1" applyBorder="1" applyAlignment="1">
      <alignment horizontal="right"/>
    </xf>
    <xf numFmtId="166" fontId="0" fillId="0" borderId="10" xfId="2" applyNumberFormat="1" applyFont="1" applyFill="1" applyBorder="1" applyAlignment="1">
      <alignment horizontal="right"/>
    </xf>
    <xf numFmtId="0" fontId="0" fillId="0" borderId="36" xfId="0" applyBorder="1"/>
    <xf numFmtId="165" fontId="0" fillId="0" borderId="36" xfId="1" applyNumberFormat="1" applyFont="1" applyBorder="1" applyAlignment="1"/>
    <xf numFmtId="0" fontId="0" fillId="0" borderId="36" xfId="0" applyBorder="1" applyAlignment="1">
      <alignment horizontal="center"/>
    </xf>
    <xf numFmtId="166" fontId="0" fillId="0" borderId="36" xfId="2" applyNumberFormat="1" applyFont="1" applyBorder="1" applyAlignment="1">
      <alignment horizontal="right"/>
    </xf>
    <xf numFmtId="166" fontId="0" fillId="0" borderId="37" xfId="2" applyNumberFormat="1" applyFont="1" applyBorder="1" applyAlignment="1">
      <alignment horizontal="right"/>
    </xf>
    <xf numFmtId="0" fontId="1" fillId="3" borderId="38" xfId="0" applyFont="1" applyFill="1" applyBorder="1" applyAlignment="1">
      <alignment wrapText="1"/>
    </xf>
    <xf numFmtId="0" fontId="0" fillId="0" borderId="9" xfId="0" applyBorder="1"/>
    <xf numFmtId="0" fontId="1" fillId="0" borderId="22" xfId="0" applyFont="1" applyBorder="1"/>
    <xf numFmtId="0" fontId="0" fillId="0" borderId="19" xfId="0" applyBorder="1"/>
    <xf numFmtId="0" fontId="0" fillId="2" borderId="24" xfId="0" applyFill="1" applyBorder="1"/>
    <xf numFmtId="0" fontId="0" fillId="0" borderId="11" xfId="0" applyBorder="1"/>
    <xf numFmtId="0" fontId="0" fillId="0" borderId="35" xfId="0" applyBorder="1"/>
    <xf numFmtId="0" fontId="1" fillId="0" borderId="32" xfId="0" applyFont="1" applyBorder="1"/>
    <xf numFmtId="0" fontId="0" fillId="0" borderId="39" xfId="0" applyBorder="1"/>
    <xf numFmtId="165" fontId="0" fillId="0" borderId="40" xfId="1" applyNumberFormat="1" applyFont="1" applyBorder="1" applyAlignment="1"/>
    <xf numFmtId="0" fontId="0" fillId="0" borderId="40" xfId="0" applyBorder="1" applyAlignment="1">
      <alignment horizontal="center"/>
    </xf>
    <xf numFmtId="166" fontId="0" fillId="0" borderId="40" xfId="2" applyNumberFormat="1" applyFont="1" applyBorder="1" applyAlignment="1">
      <alignment horizontal="right"/>
    </xf>
    <xf numFmtId="166" fontId="0" fillId="0" borderId="41" xfId="2" applyNumberFormat="1" applyFont="1" applyBorder="1" applyAlignment="1">
      <alignment horizontal="right"/>
    </xf>
    <xf numFmtId="0" fontId="0" fillId="0" borderId="40" xfId="0" applyBorder="1"/>
    <xf numFmtId="166" fontId="0" fillId="0" borderId="2" xfId="0" applyNumberFormat="1" applyBorder="1"/>
    <xf numFmtId="167" fontId="0" fillId="0" borderId="2" xfId="0" applyNumberFormat="1" applyBorder="1"/>
    <xf numFmtId="44" fontId="0" fillId="0" borderId="10" xfId="2" applyNumberFormat="1" applyFont="1" applyBorder="1" applyAlignment="1">
      <alignment horizontal="right"/>
    </xf>
    <xf numFmtId="166" fontId="5" fillId="0" borderId="10" xfId="2" applyNumberFormat="1" applyFont="1" applyBorder="1" applyAlignment="1">
      <alignment horizontal="right"/>
    </xf>
    <xf numFmtId="164" fontId="1" fillId="2" borderId="6" xfId="0" applyNumberFormat="1" applyFont="1" applyFill="1" applyBorder="1" applyAlignment="1">
      <alignment horizontal="left"/>
    </xf>
    <xf numFmtId="166" fontId="0" fillId="0" borderId="10" xfId="2" applyNumberFormat="1" applyFont="1" applyBorder="1" applyAlignment="1">
      <alignment horizontal="left"/>
    </xf>
    <xf numFmtId="166" fontId="5" fillId="0" borderId="10" xfId="2" applyNumberFormat="1" applyFon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6" fillId="0" borderId="9" xfId="0" applyFont="1" applyBorder="1"/>
    <xf numFmtId="165" fontId="6" fillId="0" borderId="10" xfId="1" applyNumberFormat="1" applyFont="1" applyBorder="1" applyAlignment="1"/>
    <xf numFmtId="0" fontId="6" fillId="0" borderId="10" xfId="0" applyFont="1" applyBorder="1" applyAlignment="1">
      <alignment horizontal="center"/>
    </xf>
    <xf numFmtId="166" fontId="6" fillId="0" borderId="10" xfId="2" applyNumberFormat="1" applyFont="1" applyFill="1" applyBorder="1" applyAlignment="1">
      <alignment horizontal="right"/>
    </xf>
    <xf numFmtId="166" fontId="6" fillId="0" borderId="10" xfId="2" applyNumberFormat="1" applyFont="1" applyBorder="1" applyAlignment="1">
      <alignment horizontal="right"/>
    </xf>
    <xf numFmtId="44" fontId="0" fillId="0" borderId="0" xfId="2" applyFont="1"/>
    <xf numFmtId="44" fontId="0" fillId="0" borderId="0" xfId="0" applyNumberFormat="1"/>
    <xf numFmtId="165" fontId="0" fillId="0" borderId="0" xfId="1" applyNumberFormat="1" applyFont="1" applyBorder="1" applyAlignment="1"/>
    <xf numFmtId="0" fontId="0" fillId="0" borderId="0" xfId="0" applyBorder="1" applyAlignment="1">
      <alignment horizontal="center"/>
    </xf>
    <xf numFmtId="166" fontId="0" fillId="0" borderId="0" xfId="2" applyNumberFormat="1" applyFont="1" applyBorder="1" applyAlignment="1">
      <alignment horizontal="right"/>
    </xf>
    <xf numFmtId="166" fontId="0" fillId="0" borderId="0" xfId="2" applyNumberFormat="1" applyFont="1" applyBorder="1" applyAlignment="1">
      <alignment horizontal="left"/>
    </xf>
    <xf numFmtId="165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5" fontId="0" fillId="0" borderId="0" xfId="1" applyNumberFormat="1" applyFont="1"/>
    <xf numFmtId="43" fontId="0" fillId="0" borderId="0" xfId="0" applyNumberFormat="1"/>
    <xf numFmtId="0" fontId="1" fillId="0" borderId="0" xfId="0" applyFont="1"/>
    <xf numFmtId="0" fontId="5" fillId="0" borderId="0" xfId="0" applyFont="1"/>
    <xf numFmtId="0" fontId="0" fillId="0" borderId="9" xfId="0" applyFill="1" applyBorder="1"/>
    <xf numFmtId="165" fontId="0" fillId="0" borderId="10" xfId="1" applyNumberFormat="1" applyFont="1" applyFill="1" applyBorder="1" applyAlignment="1"/>
    <xf numFmtId="0" fontId="0" fillId="0" borderId="10" xfId="0" applyFill="1" applyBorder="1" applyAlignment="1">
      <alignment horizontal="center"/>
    </xf>
    <xf numFmtId="166" fontId="0" fillId="0" borderId="10" xfId="2" applyNumberFormat="1" applyFont="1" applyFill="1" applyBorder="1" applyAlignment="1">
      <alignment horizontal="left"/>
    </xf>
    <xf numFmtId="44" fontId="0" fillId="0" borderId="10" xfId="2" applyFont="1" applyBorder="1" applyAlignment="1">
      <alignment horizontal="right"/>
    </xf>
    <xf numFmtId="0" fontId="0" fillId="5" borderId="9" xfId="0" applyFill="1" applyBorder="1"/>
    <xf numFmtId="0" fontId="0" fillId="5" borderId="43" xfId="0" applyFill="1" applyBorder="1"/>
    <xf numFmtId="166" fontId="0" fillId="4" borderId="10" xfId="2" applyNumberFormat="1" applyFont="1" applyFill="1" applyBorder="1" applyAlignment="1">
      <alignment horizontal="right"/>
    </xf>
    <xf numFmtId="166" fontId="7" fillId="0" borderId="10" xfId="2" applyNumberFormat="1" applyFont="1" applyFill="1" applyBorder="1" applyAlignment="1">
      <alignment horizontal="right"/>
    </xf>
    <xf numFmtId="44" fontId="0" fillId="0" borderId="10" xfId="2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44" fontId="0" fillId="0" borderId="0" xfId="2" applyNumberFormat="1" applyFont="1" applyBorder="1" applyAlignment="1">
      <alignment horizontal="right"/>
    </xf>
    <xf numFmtId="0" fontId="0" fillId="0" borderId="8" xfId="0" applyBorder="1"/>
    <xf numFmtId="44" fontId="0" fillId="0" borderId="10" xfId="2" applyNumberFormat="1" applyFont="1" applyFill="1" applyBorder="1" applyAlignment="1">
      <alignment horizontal="left"/>
    </xf>
    <xf numFmtId="166" fontId="5" fillId="0" borderId="10" xfId="2" applyNumberFormat="1" applyFont="1" applyFill="1" applyBorder="1" applyAlignment="1">
      <alignment horizontal="right"/>
    </xf>
    <xf numFmtId="164" fontId="1" fillId="3" borderId="45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right"/>
    </xf>
    <xf numFmtId="164" fontId="1" fillId="3" borderId="44" xfId="0" applyNumberFormat="1" applyFont="1" applyFill="1" applyBorder="1" applyAlignment="1">
      <alignment horizontal="center" wrapText="1"/>
    </xf>
    <xf numFmtId="164" fontId="1" fillId="3" borderId="45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166" fontId="0" fillId="6" borderId="10" xfId="2" applyNumberFormat="1" applyFont="1" applyFill="1" applyBorder="1" applyAlignment="1">
      <alignment horizontal="right"/>
    </xf>
    <xf numFmtId="0" fontId="0" fillId="2" borderId="46" xfId="0" applyFill="1" applyBorder="1" applyAlignment="1">
      <alignment wrapText="1"/>
    </xf>
    <xf numFmtId="0" fontId="0" fillId="2" borderId="0" xfId="0" applyFill="1" applyBorder="1"/>
    <xf numFmtId="0" fontId="0" fillId="0" borderId="0" xfId="0" applyBorder="1"/>
    <xf numFmtId="0" fontId="0" fillId="0" borderId="6" xfId="0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topLeftCell="A76" zoomScaleNormal="100" workbookViewId="0">
      <selection activeCell="I87" sqref="I87"/>
    </sheetView>
  </sheetViews>
  <sheetFormatPr defaultColWidth="9.140625" defaultRowHeight="15"/>
  <cols>
    <col min="1" max="2" width="9.140625" style="2"/>
    <col min="3" max="3" width="31.5703125" style="2" customWidth="1"/>
    <col min="4" max="4" width="10.42578125" style="20" customWidth="1"/>
    <col min="5" max="5" width="5.5703125" style="5" customWidth="1"/>
    <col min="6" max="6" width="13" style="6" customWidth="1"/>
    <col min="7" max="7" width="17.7109375" style="25" hidden="1" customWidth="1"/>
    <col min="8" max="9" width="20.140625" style="25" customWidth="1"/>
    <col min="10" max="10" width="16.85546875" style="25" bestFit="1" customWidth="1"/>
    <col min="11" max="11" width="14.7109375" style="25" bestFit="1" customWidth="1"/>
    <col min="12" max="12" width="49" style="93" hidden="1" customWidth="1"/>
    <col min="13" max="13" width="9.140625" style="1" hidden="1" customWidth="1"/>
    <col min="14" max="14" width="0" style="1" hidden="1" customWidth="1"/>
    <col min="15" max="16384" width="9.140625" style="1"/>
  </cols>
  <sheetData>
    <row r="1" spans="1:12" s="16" customFormat="1" ht="15.75" thickBot="1">
      <c r="A1" s="137"/>
      <c r="B1" s="137"/>
      <c r="C1" s="72" t="s">
        <v>26</v>
      </c>
      <c r="D1" s="28" t="s">
        <v>0</v>
      </c>
      <c r="E1" s="28" t="s">
        <v>1</v>
      </c>
      <c r="F1" s="29" t="s">
        <v>25</v>
      </c>
      <c r="G1" s="51" t="s">
        <v>223</v>
      </c>
      <c r="H1" s="51" t="s">
        <v>224</v>
      </c>
      <c r="I1" s="131" t="s">
        <v>225</v>
      </c>
      <c r="J1" s="132"/>
      <c r="K1" s="129"/>
      <c r="L1" s="51" t="s">
        <v>71</v>
      </c>
    </row>
    <row r="2" spans="1:12" s="8" customFormat="1">
      <c r="A2" s="138"/>
      <c r="B2" s="138"/>
      <c r="C2" s="13" t="s">
        <v>124</v>
      </c>
      <c r="D2" s="30"/>
      <c r="E2" s="31"/>
      <c r="F2" s="32"/>
      <c r="G2" s="32"/>
      <c r="H2" s="32"/>
      <c r="I2" s="32" t="s">
        <v>120</v>
      </c>
      <c r="J2" s="32" t="s">
        <v>226</v>
      </c>
      <c r="K2" s="32" t="s">
        <v>227</v>
      </c>
      <c r="L2" s="90"/>
    </row>
    <row r="3" spans="1:12">
      <c r="A3" s="139"/>
      <c r="B3" s="139"/>
      <c r="C3" s="118" t="s">
        <v>55</v>
      </c>
      <c r="D3" s="18">
        <v>1</v>
      </c>
      <c r="E3" s="10" t="s">
        <v>3</v>
      </c>
      <c r="F3" s="88">
        <v>0</v>
      </c>
      <c r="G3" s="22">
        <f t="shared" ref="G3:G8" si="0">D3*F3</f>
        <v>0</v>
      </c>
      <c r="H3" s="22">
        <f>G3</f>
        <v>0</v>
      </c>
      <c r="I3" s="22">
        <f>G3</f>
        <v>0</v>
      </c>
      <c r="J3" s="22"/>
      <c r="K3" s="22"/>
      <c r="L3" s="91" t="s">
        <v>122</v>
      </c>
    </row>
    <row r="4" spans="1:12">
      <c r="A4" s="139"/>
      <c r="B4" s="139"/>
      <c r="C4" s="118" t="s">
        <v>56</v>
      </c>
      <c r="D4" s="18">
        <v>1</v>
      </c>
      <c r="E4" s="10" t="s">
        <v>3</v>
      </c>
      <c r="F4" s="88">
        <v>100000</v>
      </c>
      <c r="G4" s="22">
        <f t="shared" si="0"/>
        <v>100000</v>
      </c>
      <c r="H4" s="22">
        <f t="shared" ref="H4:H63" si="1">G4</f>
        <v>100000</v>
      </c>
      <c r="I4" s="22">
        <f t="shared" ref="I4:I63" si="2">G4</f>
        <v>100000</v>
      </c>
      <c r="J4" s="22">
        <v>0</v>
      </c>
      <c r="K4" s="22"/>
      <c r="L4" s="91"/>
    </row>
    <row r="5" spans="1:12">
      <c r="A5" s="139"/>
      <c r="B5" s="139"/>
      <c r="C5" s="118" t="s">
        <v>123</v>
      </c>
      <c r="D5" s="18">
        <v>1</v>
      </c>
      <c r="E5" s="10" t="s">
        <v>3</v>
      </c>
      <c r="F5" s="88">
        <v>0</v>
      </c>
      <c r="G5" s="22">
        <f t="shared" si="0"/>
        <v>0</v>
      </c>
      <c r="H5" s="22">
        <f t="shared" si="1"/>
        <v>0</v>
      </c>
      <c r="I5" s="22">
        <f t="shared" si="2"/>
        <v>0</v>
      </c>
      <c r="J5" s="22">
        <v>0</v>
      </c>
      <c r="K5" s="22"/>
      <c r="L5" s="91" t="s">
        <v>145</v>
      </c>
    </row>
    <row r="6" spans="1:12">
      <c r="A6" s="139"/>
      <c r="B6" s="139"/>
      <c r="C6" s="118" t="s">
        <v>153</v>
      </c>
      <c r="D6" s="18">
        <v>60000</v>
      </c>
      <c r="E6" s="10" t="s">
        <v>90</v>
      </c>
      <c r="F6" s="88">
        <v>4</v>
      </c>
      <c r="G6" s="22">
        <f t="shared" si="0"/>
        <v>240000</v>
      </c>
      <c r="H6" s="22">
        <f t="shared" si="1"/>
        <v>240000</v>
      </c>
      <c r="I6" s="22">
        <f t="shared" si="2"/>
        <v>240000</v>
      </c>
      <c r="J6" s="22">
        <v>0</v>
      </c>
      <c r="K6" s="22"/>
      <c r="L6" s="91"/>
    </row>
    <row r="7" spans="1:12">
      <c r="A7" s="139"/>
      <c r="B7" s="139"/>
      <c r="C7" s="118" t="s">
        <v>154</v>
      </c>
      <c r="D7" s="18">
        <v>1384235</v>
      </c>
      <c r="E7" s="10" t="s">
        <v>4</v>
      </c>
      <c r="F7" s="88">
        <v>0.14000000000000001</v>
      </c>
      <c r="G7" s="22">
        <f t="shared" si="0"/>
        <v>193792.90000000002</v>
      </c>
      <c r="H7" s="22">
        <f t="shared" si="1"/>
        <v>193792.90000000002</v>
      </c>
      <c r="I7" s="22">
        <f t="shared" si="2"/>
        <v>193792.90000000002</v>
      </c>
      <c r="J7" s="22">
        <v>0</v>
      </c>
      <c r="K7" s="22"/>
      <c r="L7" s="91"/>
    </row>
    <row r="8" spans="1:12">
      <c r="A8" s="139"/>
      <c r="B8" s="139"/>
      <c r="C8" s="118" t="s">
        <v>121</v>
      </c>
      <c r="D8" s="18">
        <v>1</v>
      </c>
      <c r="E8" s="10" t="s">
        <v>3</v>
      </c>
      <c r="F8" s="88">
        <v>60000</v>
      </c>
      <c r="G8" s="22">
        <f t="shared" si="0"/>
        <v>60000</v>
      </c>
      <c r="H8" s="22">
        <f t="shared" si="1"/>
        <v>60000</v>
      </c>
      <c r="I8" s="22">
        <f t="shared" si="2"/>
        <v>60000</v>
      </c>
      <c r="J8" s="22">
        <v>0</v>
      </c>
      <c r="K8" s="22"/>
      <c r="L8" s="91" t="s">
        <v>183</v>
      </c>
    </row>
    <row r="9" spans="1:12">
      <c r="A9" s="139"/>
      <c r="B9" s="139"/>
      <c r="C9" s="118"/>
      <c r="D9" s="18"/>
      <c r="E9" s="10"/>
      <c r="F9" s="89" t="s">
        <v>98</v>
      </c>
      <c r="G9" s="89">
        <f>SUM(G3:G8)</f>
        <v>593792.9</v>
      </c>
      <c r="H9" s="89">
        <f>SUM(H4:H8)</f>
        <v>593792.9</v>
      </c>
      <c r="I9" s="89">
        <f>SUM(I4:I8)</f>
        <v>593792.9</v>
      </c>
      <c r="J9" s="89">
        <f>SUM(J4:J8)</f>
        <v>0</v>
      </c>
      <c r="K9" s="89"/>
      <c r="L9" s="92"/>
    </row>
    <row r="10" spans="1:12">
      <c r="A10" s="139"/>
      <c r="B10" s="139"/>
      <c r="C10" s="118"/>
      <c r="D10" s="18"/>
      <c r="E10" s="10"/>
      <c r="F10" s="22"/>
      <c r="G10" s="22"/>
      <c r="H10" s="22"/>
      <c r="I10" s="22"/>
      <c r="J10" s="22"/>
      <c r="K10" s="22"/>
      <c r="L10" s="91"/>
    </row>
    <row r="11" spans="1:12">
      <c r="A11" s="140"/>
      <c r="B11" s="140"/>
      <c r="C11" s="13" t="s">
        <v>97</v>
      </c>
      <c r="D11" s="30"/>
      <c r="E11" s="31"/>
      <c r="F11" s="32"/>
      <c r="G11" s="32"/>
      <c r="H11" s="32"/>
      <c r="I11" s="32"/>
      <c r="J11" s="32"/>
      <c r="K11" s="32"/>
      <c r="L11" s="90"/>
    </row>
    <row r="12" spans="1:12">
      <c r="A12" s="139"/>
      <c r="B12" s="139"/>
      <c r="C12" s="118" t="s">
        <v>164</v>
      </c>
      <c r="D12" s="114">
        <v>1848</v>
      </c>
      <c r="E12" s="115" t="s">
        <v>67</v>
      </c>
      <c r="F12" s="66">
        <v>60</v>
      </c>
      <c r="G12" s="66">
        <f t="shared" ref="G12:G23" si="3">D12*F12</f>
        <v>110880</v>
      </c>
      <c r="H12" s="22">
        <f t="shared" si="1"/>
        <v>110880</v>
      </c>
      <c r="I12" s="22">
        <f t="shared" si="2"/>
        <v>110880</v>
      </c>
      <c r="J12" s="22">
        <v>0</v>
      </c>
      <c r="K12" s="22"/>
      <c r="L12" s="116" t="s">
        <v>166</v>
      </c>
    </row>
    <row r="13" spans="1:12">
      <c r="A13" s="139"/>
      <c r="B13" s="139"/>
      <c r="C13" s="118" t="s">
        <v>179</v>
      </c>
      <c r="D13" s="114">
        <v>192</v>
      </c>
      <c r="E13" s="115" t="s">
        <v>67</v>
      </c>
      <c r="F13" s="66">
        <v>40</v>
      </c>
      <c r="G13" s="66">
        <f t="shared" si="3"/>
        <v>7680</v>
      </c>
      <c r="H13" s="22">
        <f t="shared" si="1"/>
        <v>7680</v>
      </c>
      <c r="I13" s="22">
        <f t="shared" si="2"/>
        <v>7680</v>
      </c>
      <c r="J13" s="22">
        <v>0</v>
      </c>
      <c r="K13" s="22"/>
      <c r="L13" s="116"/>
    </row>
    <row r="14" spans="1:12">
      <c r="A14" s="139"/>
      <c r="B14" s="139"/>
      <c r="C14" s="118" t="s">
        <v>165</v>
      </c>
      <c r="D14" s="114">
        <v>8</v>
      </c>
      <c r="E14" s="115" t="s">
        <v>6</v>
      </c>
      <c r="F14" s="66">
        <v>4500</v>
      </c>
      <c r="G14" s="66">
        <f t="shared" si="3"/>
        <v>36000</v>
      </c>
      <c r="H14" s="22">
        <f t="shared" si="1"/>
        <v>36000</v>
      </c>
      <c r="I14" s="22">
        <f t="shared" si="2"/>
        <v>36000</v>
      </c>
      <c r="J14" s="22">
        <v>0</v>
      </c>
      <c r="K14" s="22"/>
      <c r="L14" s="116"/>
    </row>
    <row r="15" spans="1:12">
      <c r="A15" s="139"/>
      <c r="B15" s="139"/>
      <c r="C15" s="118" t="s">
        <v>168</v>
      </c>
      <c r="D15" s="114">
        <v>1875</v>
      </c>
      <c r="E15" s="115" t="s">
        <v>67</v>
      </c>
      <c r="F15" s="66">
        <v>50</v>
      </c>
      <c r="G15" s="66">
        <f t="shared" ref="G15" si="4">D15*F15</f>
        <v>93750</v>
      </c>
      <c r="H15" s="22">
        <f t="shared" si="1"/>
        <v>93750</v>
      </c>
      <c r="I15" s="22">
        <f t="shared" si="2"/>
        <v>93750</v>
      </c>
      <c r="J15" s="22">
        <v>0</v>
      </c>
      <c r="K15" s="22"/>
      <c r="L15" s="116"/>
    </row>
    <row r="16" spans="1:12">
      <c r="A16" s="139"/>
      <c r="B16" s="139"/>
      <c r="C16" s="118" t="s">
        <v>125</v>
      </c>
      <c r="D16" s="114">
        <v>267</v>
      </c>
      <c r="E16" s="115" t="s">
        <v>67</v>
      </c>
      <c r="F16" s="66">
        <v>35</v>
      </c>
      <c r="G16" s="66">
        <f t="shared" si="3"/>
        <v>9345</v>
      </c>
      <c r="H16" s="22">
        <f t="shared" si="1"/>
        <v>9345</v>
      </c>
      <c r="I16" s="22">
        <f t="shared" si="2"/>
        <v>9345</v>
      </c>
      <c r="J16" s="22">
        <v>0</v>
      </c>
      <c r="K16" s="22"/>
      <c r="L16" s="116"/>
    </row>
    <row r="17" spans="1:13">
      <c r="A17" s="139"/>
      <c r="B17" s="139"/>
      <c r="C17" s="118" t="s">
        <v>163</v>
      </c>
      <c r="D17" s="114">
        <v>5742</v>
      </c>
      <c r="E17" s="115" t="s">
        <v>67</v>
      </c>
      <c r="F17" s="66">
        <v>40</v>
      </c>
      <c r="G17" s="66">
        <f t="shared" si="3"/>
        <v>229680</v>
      </c>
      <c r="H17" s="22">
        <f t="shared" si="1"/>
        <v>229680</v>
      </c>
      <c r="I17" s="22">
        <f t="shared" si="2"/>
        <v>229680</v>
      </c>
      <c r="J17" s="22">
        <v>0</v>
      </c>
      <c r="K17" s="22"/>
      <c r="L17" s="116"/>
    </row>
    <row r="18" spans="1:13">
      <c r="A18" s="139"/>
      <c r="B18" s="139"/>
      <c r="C18" s="118" t="s">
        <v>162</v>
      </c>
      <c r="D18" s="114">
        <v>10</v>
      </c>
      <c r="E18" s="115" t="s">
        <v>6</v>
      </c>
      <c r="F18" s="66">
        <v>4500</v>
      </c>
      <c r="G18" s="66">
        <f t="shared" si="3"/>
        <v>45000</v>
      </c>
      <c r="H18" s="22">
        <f t="shared" si="1"/>
        <v>45000</v>
      </c>
      <c r="I18" s="22">
        <f t="shared" si="2"/>
        <v>45000</v>
      </c>
      <c r="J18" s="22">
        <v>0</v>
      </c>
      <c r="K18" s="22"/>
      <c r="L18" s="116" t="s">
        <v>178</v>
      </c>
    </row>
    <row r="19" spans="1:13">
      <c r="A19" s="139"/>
      <c r="B19" s="139"/>
      <c r="C19" s="118" t="s">
        <v>174</v>
      </c>
      <c r="D19" s="114">
        <v>28</v>
      </c>
      <c r="E19" s="115" t="s">
        <v>6</v>
      </c>
      <c r="F19" s="66">
        <v>1200</v>
      </c>
      <c r="G19" s="66">
        <f t="shared" ref="G19" si="5">D19*F19</f>
        <v>33600</v>
      </c>
      <c r="H19" s="22">
        <f t="shared" si="1"/>
        <v>33600</v>
      </c>
      <c r="I19" s="22">
        <f t="shared" si="2"/>
        <v>33600</v>
      </c>
      <c r="J19" s="22">
        <v>0</v>
      </c>
      <c r="K19" s="22"/>
      <c r="L19" s="116" t="s">
        <v>175</v>
      </c>
    </row>
    <row r="20" spans="1:13">
      <c r="A20" s="139"/>
      <c r="B20" s="139"/>
      <c r="C20" s="118" t="s">
        <v>176</v>
      </c>
      <c r="D20" s="114">
        <v>8</v>
      </c>
      <c r="E20" s="115" t="s">
        <v>6</v>
      </c>
      <c r="F20" s="66">
        <v>3500</v>
      </c>
      <c r="G20" s="66">
        <f t="shared" ref="G20" si="6">D20*F20</f>
        <v>28000</v>
      </c>
      <c r="H20" s="22">
        <f t="shared" si="1"/>
        <v>28000</v>
      </c>
      <c r="I20" s="22">
        <f t="shared" si="2"/>
        <v>28000</v>
      </c>
      <c r="J20" s="22">
        <v>0</v>
      </c>
      <c r="K20" s="22"/>
      <c r="L20" s="116" t="s">
        <v>177</v>
      </c>
    </row>
    <row r="21" spans="1:13">
      <c r="A21" s="139"/>
      <c r="B21" s="139"/>
      <c r="C21" s="118" t="s">
        <v>126</v>
      </c>
      <c r="D21" s="114">
        <v>1</v>
      </c>
      <c r="E21" s="115" t="s">
        <v>3</v>
      </c>
      <c r="F21" s="66">
        <v>90000</v>
      </c>
      <c r="G21" s="66">
        <f t="shared" si="3"/>
        <v>90000</v>
      </c>
      <c r="H21" s="22">
        <f t="shared" si="1"/>
        <v>90000</v>
      </c>
      <c r="I21" s="22">
        <f t="shared" si="2"/>
        <v>90000</v>
      </c>
      <c r="J21" s="22">
        <v>0</v>
      </c>
      <c r="K21" s="22"/>
      <c r="L21" s="116" t="s">
        <v>143</v>
      </c>
    </row>
    <row r="22" spans="1:13">
      <c r="A22" s="139"/>
      <c r="B22" s="139"/>
      <c r="C22" s="118" t="s">
        <v>127</v>
      </c>
      <c r="D22" s="114">
        <v>24</v>
      </c>
      <c r="E22" s="115" t="s">
        <v>6</v>
      </c>
      <c r="F22" s="66">
        <v>5000</v>
      </c>
      <c r="G22" s="66">
        <f t="shared" si="3"/>
        <v>120000</v>
      </c>
      <c r="H22" s="22">
        <f t="shared" si="1"/>
        <v>120000</v>
      </c>
      <c r="I22" s="22">
        <f t="shared" si="2"/>
        <v>120000</v>
      </c>
      <c r="J22" s="22">
        <v>0</v>
      </c>
      <c r="K22" s="22"/>
      <c r="L22" s="116"/>
    </row>
    <row r="23" spans="1:13">
      <c r="A23" s="139"/>
      <c r="B23" s="139"/>
      <c r="C23" s="118" t="s">
        <v>160</v>
      </c>
      <c r="D23" s="114">
        <v>1</v>
      </c>
      <c r="E23" s="115" t="s">
        <v>3</v>
      </c>
      <c r="F23" s="66">
        <v>75000</v>
      </c>
      <c r="G23" s="66">
        <f t="shared" si="3"/>
        <v>75000</v>
      </c>
      <c r="H23" s="22">
        <f t="shared" si="1"/>
        <v>75000</v>
      </c>
      <c r="I23" s="22">
        <f t="shared" si="2"/>
        <v>75000</v>
      </c>
      <c r="J23" s="22">
        <v>0</v>
      </c>
      <c r="K23" s="22"/>
      <c r="L23" s="116"/>
    </row>
    <row r="24" spans="1:13">
      <c r="A24" s="139"/>
      <c r="B24" s="139"/>
      <c r="C24" s="118"/>
      <c r="D24" s="18"/>
      <c r="E24" s="10"/>
      <c r="F24" s="89" t="s">
        <v>99</v>
      </c>
      <c r="G24" s="89">
        <f>SUM(G12:G23)</f>
        <v>878935</v>
      </c>
      <c r="H24" s="89">
        <f>SUM(H12:H23)</f>
        <v>878935</v>
      </c>
      <c r="I24" s="89">
        <f>SUM(I12:I23)</f>
        <v>878935</v>
      </c>
      <c r="J24" s="89">
        <f>SUM(J12:J23)</f>
        <v>0</v>
      </c>
      <c r="K24" s="89"/>
      <c r="L24" s="92"/>
    </row>
    <row r="25" spans="1:13">
      <c r="A25" s="139"/>
      <c r="B25" s="139"/>
      <c r="C25" s="119"/>
      <c r="D25" s="101"/>
      <c r="E25" s="102"/>
      <c r="F25" s="103"/>
      <c r="G25" s="103"/>
      <c r="H25" s="22"/>
      <c r="I25" s="22"/>
      <c r="J25" s="22"/>
      <c r="K25" s="103"/>
      <c r="L25" s="104"/>
    </row>
    <row r="26" spans="1:13">
      <c r="A26" s="140"/>
      <c r="B26" s="140"/>
      <c r="C26" s="13" t="s">
        <v>54</v>
      </c>
      <c r="D26" s="30"/>
      <c r="E26" s="31"/>
      <c r="F26" s="32"/>
      <c r="G26" s="32"/>
      <c r="H26" s="32"/>
      <c r="I26" s="32"/>
      <c r="J26" s="32"/>
      <c r="K26" s="32"/>
      <c r="L26" s="90"/>
    </row>
    <row r="27" spans="1:13">
      <c r="A27" s="139"/>
      <c r="B27" s="139"/>
      <c r="C27" s="118" t="s">
        <v>128</v>
      </c>
      <c r="D27" s="18">
        <v>4600</v>
      </c>
      <c r="E27" s="10" t="s">
        <v>67</v>
      </c>
      <c r="F27" s="117">
        <v>22</v>
      </c>
      <c r="G27" s="22">
        <f t="shared" ref="G27:G36" si="7">D27*F27</f>
        <v>101200</v>
      </c>
      <c r="H27" s="22">
        <f t="shared" si="1"/>
        <v>101200</v>
      </c>
      <c r="I27" s="22">
        <f t="shared" si="2"/>
        <v>101200</v>
      </c>
      <c r="J27" s="22">
        <v>0</v>
      </c>
      <c r="K27" s="22"/>
      <c r="L27" s="91"/>
      <c r="M27" s="105">
        <f>D27*2</f>
        <v>9200</v>
      </c>
    </row>
    <row r="28" spans="1:13">
      <c r="A28" s="139"/>
      <c r="B28" s="139"/>
      <c r="C28" s="118" t="s">
        <v>129</v>
      </c>
      <c r="D28" s="18">
        <v>4745</v>
      </c>
      <c r="E28" s="10" t="s">
        <v>69</v>
      </c>
      <c r="F28" s="117">
        <v>45</v>
      </c>
      <c r="G28" s="22">
        <f t="shared" si="7"/>
        <v>213525</v>
      </c>
      <c r="H28" s="22">
        <f t="shared" si="1"/>
        <v>213525</v>
      </c>
      <c r="I28" s="22">
        <v>213525</v>
      </c>
      <c r="J28" s="22"/>
      <c r="K28" s="136">
        <v>213525</v>
      </c>
      <c r="L28" s="91"/>
      <c r="M28" s="105">
        <f>D28*9</f>
        <v>42705</v>
      </c>
    </row>
    <row r="29" spans="1:13">
      <c r="A29" s="139"/>
      <c r="B29" s="139"/>
      <c r="C29" s="118" t="s">
        <v>130</v>
      </c>
      <c r="D29" s="18">
        <v>14377</v>
      </c>
      <c r="E29" s="10" t="s">
        <v>69</v>
      </c>
      <c r="F29" s="117">
        <v>38</v>
      </c>
      <c r="G29" s="22">
        <f t="shared" si="7"/>
        <v>546326</v>
      </c>
      <c r="H29" s="22">
        <f t="shared" si="1"/>
        <v>546326</v>
      </c>
      <c r="I29" s="22">
        <v>546326</v>
      </c>
      <c r="J29" s="22">
        <v>0</v>
      </c>
      <c r="K29" s="136">
        <v>200000</v>
      </c>
      <c r="L29" s="91"/>
      <c r="M29" s="105">
        <f>D29*9</f>
        <v>129393</v>
      </c>
    </row>
    <row r="30" spans="1:13">
      <c r="A30" s="139"/>
      <c r="B30" s="139"/>
      <c r="C30" s="118" t="s">
        <v>57</v>
      </c>
      <c r="D30" s="18">
        <v>53000</v>
      </c>
      <c r="E30" s="10" t="s">
        <v>4</v>
      </c>
      <c r="F30" s="117">
        <v>5</v>
      </c>
      <c r="G30" s="22">
        <f t="shared" si="7"/>
        <v>265000</v>
      </c>
      <c r="H30" s="22">
        <f t="shared" si="1"/>
        <v>265000</v>
      </c>
      <c r="I30" s="22">
        <f t="shared" si="2"/>
        <v>265000</v>
      </c>
      <c r="J30" s="22">
        <v>0</v>
      </c>
      <c r="K30" s="22"/>
      <c r="L30" s="91"/>
      <c r="M30" s="105">
        <f>D30*9</f>
        <v>477000</v>
      </c>
    </row>
    <row r="31" spans="1:13">
      <c r="A31" s="139"/>
      <c r="B31" s="139"/>
      <c r="C31" s="118" t="s">
        <v>146</v>
      </c>
      <c r="D31" s="18">
        <v>5970</v>
      </c>
      <c r="E31" s="10" t="s">
        <v>3</v>
      </c>
      <c r="F31" s="117">
        <v>28</v>
      </c>
      <c r="G31" s="22">
        <f t="shared" si="7"/>
        <v>167160</v>
      </c>
      <c r="H31" s="22">
        <f t="shared" si="1"/>
        <v>167160</v>
      </c>
      <c r="I31" s="22">
        <f t="shared" si="2"/>
        <v>167160</v>
      </c>
      <c r="J31" s="22">
        <v>0</v>
      </c>
      <c r="K31" s="22"/>
      <c r="L31" s="91"/>
      <c r="M31" s="105"/>
    </row>
    <row r="32" spans="1:13">
      <c r="A32" s="139"/>
      <c r="B32" s="139"/>
      <c r="C32" s="118" t="s">
        <v>167</v>
      </c>
      <c r="D32" s="18">
        <v>370</v>
      </c>
      <c r="E32" s="10" t="s">
        <v>67</v>
      </c>
      <c r="F32" s="117">
        <v>110</v>
      </c>
      <c r="G32" s="22">
        <f t="shared" si="7"/>
        <v>40700</v>
      </c>
      <c r="H32" s="22">
        <f t="shared" si="1"/>
        <v>40700</v>
      </c>
      <c r="I32" s="22">
        <f t="shared" si="2"/>
        <v>40700</v>
      </c>
      <c r="J32" s="22">
        <v>0</v>
      </c>
      <c r="K32" s="22"/>
      <c r="L32" s="91"/>
      <c r="M32" s="105"/>
    </row>
    <row r="33" spans="1:13">
      <c r="A33" s="139"/>
      <c r="B33" s="139"/>
      <c r="C33" s="118" t="s">
        <v>131</v>
      </c>
      <c r="D33" s="18">
        <v>1</v>
      </c>
      <c r="E33" s="10" t="s">
        <v>3</v>
      </c>
      <c r="F33" s="117">
        <v>8000</v>
      </c>
      <c r="G33" s="22">
        <f t="shared" si="7"/>
        <v>8000</v>
      </c>
      <c r="H33" s="22">
        <f t="shared" si="1"/>
        <v>8000</v>
      </c>
      <c r="I33" s="22">
        <f t="shared" si="2"/>
        <v>8000</v>
      </c>
      <c r="J33" s="22">
        <v>0</v>
      </c>
      <c r="K33" s="22"/>
      <c r="L33" s="91"/>
      <c r="M33" s="105">
        <f>D33*9</f>
        <v>9</v>
      </c>
    </row>
    <row r="34" spans="1:13">
      <c r="A34" s="139"/>
      <c r="B34" s="139"/>
      <c r="C34" s="118" t="s">
        <v>185</v>
      </c>
      <c r="D34" s="18">
        <v>620</v>
      </c>
      <c r="E34" s="10" t="s">
        <v>67</v>
      </c>
      <c r="F34" s="117">
        <v>40</v>
      </c>
      <c r="G34" s="22">
        <f t="shared" si="7"/>
        <v>24800</v>
      </c>
      <c r="H34" s="22">
        <f t="shared" si="1"/>
        <v>24800</v>
      </c>
      <c r="I34" s="22">
        <f t="shared" si="2"/>
        <v>24800</v>
      </c>
      <c r="J34" s="22">
        <v>0</v>
      </c>
      <c r="K34" s="22"/>
      <c r="L34" s="91" t="s">
        <v>186</v>
      </c>
    </row>
    <row r="35" spans="1:13">
      <c r="A35" s="139"/>
      <c r="B35" s="139"/>
      <c r="C35" s="118" t="s">
        <v>184</v>
      </c>
      <c r="D35" s="18">
        <v>280</v>
      </c>
      <c r="E35" s="10" t="s">
        <v>67</v>
      </c>
      <c r="F35" s="117">
        <v>60</v>
      </c>
      <c r="G35" s="22">
        <f t="shared" si="7"/>
        <v>16800</v>
      </c>
      <c r="H35" s="22">
        <f t="shared" si="1"/>
        <v>16800</v>
      </c>
      <c r="I35" s="22">
        <f t="shared" si="2"/>
        <v>16800</v>
      </c>
      <c r="J35" s="22">
        <v>0</v>
      </c>
      <c r="K35" s="22"/>
      <c r="L35" s="91" t="s">
        <v>155</v>
      </c>
    </row>
    <row r="36" spans="1:13">
      <c r="A36" s="139"/>
      <c r="B36" s="139"/>
      <c r="C36" s="118" t="s">
        <v>173</v>
      </c>
      <c r="D36" s="18">
        <v>2</v>
      </c>
      <c r="E36" s="10" t="s">
        <v>6</v>
      </c>
      <c r="F36" s="117">
        <v>8000</v>
      </c>
      <c r="G36" s="22">
        <f t="shared" si="7"/>
        <v>16000</v>
      </c>
      <c r="H36" s="22">
        <f t="shared" si="1"/>
        <v>16000</v>
      </c>
      <c r="I36" s="22">
        <f t="shared" si="2"/>
        <v>16000</v>
      </c>
      <c r="J36" s="22">
        <v>0</v>
      </c>
      <c r="K36" s="22"/>
      <c r="L36" s="91"/>
    </row>
    <row r="37" spans="1:13">
      <c r="A37" s="139"/>
      <c r="B37" s="139"/>
      <c r="C37" s="118"/>
      <c r="D37" s="18"/>
      <c r="E37" s="10"/>
      <c r="F37" s="89" t="s">
        <v>58</v>
      </c>
      <c r="G37" s="89">
        <f>SUM(G27:G36)</f>
        <v>1399511</v>
      </c>
      <c r="H37" s="89">
        <f>SUM(H27:H36)</f>
        <v>1399511</v>
      </c>
      <c r="I37" s="89">
        <f>SUM(I27:I36)</f>
        <v>1399511</v>
      </c>
      <c r="J37" s="89">
        <f>SUM(J27:J36)</f>
        <v>0</v>
      </c>
      <c r="K37" s="89"/>
      <c r="L37" s="92"/>
    </row>
    <row r="38" spans="1:13">
      <c r="A38" s="139"/>
      <c r="B38" s="139"/>
      <c r="C38" s="118"/>
      <c r="D38" s="18"/>
      <c r="E38" s="10"/>
      <c r="F38" s="22"/>
      <c r="G38" s="22"/>
      <c r="H38" s="22"/>
      <c r="I38" s="22"/>
      <c r="J38" s="22"/>
      <c r="K38" s="22"/>
      <c r="L38" s="91"/>
    </row>
    <row r="39" spans="1:13">
      <c r="A39" s="140"/>
      <c r="B39" s="140"/>
      <c r="C39" s="13" t="s">
        <v>60</v>
      </c>
      <c r="D39" s="30"/>
      <c r="E39" s="31"/>
      <c r="F39" s="32"/>
      <c r="G39" s="32"/>
      <c r="H39" s="32"/>
      <c r="I39" s="32"/>
      <c r="J39" s="32"/>
      <c r="K39" s="32"/>
      <c r="L39" s="90"/>
    </row>
    <row r="40" spans="1:13">
      <c r="A40" s="139"/>
      <c r="B40" s="139"/>
      <c r="C40" s="118" t="s">
        <v>156</v>
      </c>
      <c r="D40" s="18">
        <v>1</v>
      </c>
      <c r="E40" s="10" t="s">
        <v>6</v>
      </c>
      <c r="F40" s="22">
        <f>'Ballfield Unit Pricing'!E19</f>
        <v>391979.39</v>
      </c>
      <c r="G40" s="22">
        <f t="shared" ref="G40:G49" si="8">D40*F40</f>
        <v>391979.39</v>
      </c>
      <c r="H40" s="22">
        <f t="shared" si="1"/>
        <v>391979.39</v>
      </c>
      <c r="I40" s="22">
        <f t="shared" si="2"/>
        <v>391979.39</v>
      </c>
      <c r="J40" s="22">
        <v>0</v>
      </c>
      <c r="K40" s="66"/>
      <c r="L40" s="91"/>
      <c r="M40" s="105">
        <f>D40*109267</f>
        <v>109267</v>
      </c>
    </row>
    <row r="41" spans="1:13">
      <c r="A41" s="139"/>
      <c r="B41" s="139"/>
      <c r="C41" s="118" t="s">
        <v>157</v>
      </c>
      <c r="D41" s="18">
        <v>1</v>
      </c>
      <c r="E41" s="10" t="s">
        <v>6</v>
      </c>
      <c r="F41" s="22">
        <f>'Ballfield Unit Pricing'!E37</f>
        <v>335457.87</v>
      </c>
      <c r="G41" s="22">
        <f t="shared" si="8"/>
        <v>335457.87</v>
      </c>
      <c r="H41" s="22">
        <f t="shared" si="1"/>
        <v>335457.87</v>
      </c>
      <c r="I41" s="120"/>
      <c r="J41" s="22">
        <v>335458</v>
      </c>
      <c r="K41" s="121"/>
      <c r="L41" s="91"/>
      <c r="M41" s="105">
        <f>D41*109267</f>
        <v>109267</v>
      </c>
    </row>
    <row r="42" spans="1:13">
      <c r="A42" s="139"/>
      <c r="B42" s="139"/>
      <c r="C42" s="118" t="s">
        <v>158</v>
      </c>
      <c r="D42" s="18">
        <v>1</v>
      </c>
      <c r="E42" s="10" t="s">
        <v>6</v>
      </c>
      <c r="F42" s="22">
        <f>'Ballfield Unit Pricing'!E55</f>
        <v>212188.73500000002</v>
      </c>
      <c r="G42" s="22">
        <f t="shared" si="8"/>
        <v>212188.73500000002</v>
      </c>
      <c r="H42" s="22">
        <f t="shared" si="1"/>
        <v>212188.73500000002</v>
      </c>
      <c r="I42" s="22">
        <f t="shared" si="2"/>
        <v>212188.73500000002</v>
      </c>
      <c r="J42" s="22">
        <v>0</v>
      </c>
      <c r="K42" s="121"/>
      <c r="L42" s="91"/>
      <c r="M42" s="105">
        <f>D42*109267</f>
        <v>109267</v>
      </c>
    </row>
    <row r="43" spans="1:13">
      <c r="A43" s="139"/>
      <c r="B43" s="139"/>
      <c r="C43" s="118" t="s">
        <v>159</v>
      </c>
      <c r="D43" s="18">
        <v>1</v>
      </c>
      <c r="E43" s="10" t="s">
        <v>6</v>
      </c>
      <c r="F43" s="22">
        <v>210000</v>
      </c>
      <c r="G43" s="22">
        <f t="shared" si="8"/>
        <v>210000</v>
      </c>
      <c r="H43" s="22">
        <f t="shared" si="1"/>
        <v>210000</v>
      </c>
      <c r="I43" s="22">
        <f t="shared" si="2"/>
        <v>210000</v>
      </c>
      <c r="J43" s="22">
        <v>0</v>
      </c>
      <c r="K43" s="121"/>
      <c r="L43" s="91"/>
      <c r="M43" s="105">
        <f>D43*109267</f>
        <v>109267</v>
      </c>
    </row>
    <row r="44" spans="1:13">
      <c r="A44" s="139"/>
      <c r="B44" s="139"/>
      <c r="C44" s="118" t="s">
        <v>132</v>
      </c>
      <c r="D44" s="18">
        <v>2</v>
      </c>
      <c r="E44" s="10" t="s">
        <v>6</v>
      </c>
      <c r="F44" s="22">
        <f>'Ballfield Unit Pricing'!E86</f>
        <v>209650.1</v>
      </c>
      <c r="G44" s="22">
        <f t="shared" si="8"/>
        <v>419300.2</v>
      </c>
      <c r="H44" s="22">
        <f t="shared" si="1"/>
        <v>419300.2</v>
      </c>
      <c r="I44" s="22">
        <v>209650</v>
      </c>
      <c r="J44" s="22">
        <v>209650</v>
      </c>
      <c r="K44" s="121"/>
      <c r="L44" s="91"/>
      <c r="M44" s="105">
        <f>D44*48605</f>
        <v>97210</v>
      </c>
    </row>
    <row r="45" spans="1:13">
      <c r="A45" s="139"/>
      <c r="B45" s="139"/>
      <c r="C45" s="118" t="s">
        <v>169</v>
      </c>
      <c r="D45" s="18">
        <v>1</v>
      </c>
      <c r="E45" s="10" t="s">
        <v>6</v>
      </c>
      <c r="F45" s="22">
        <f>'Ballfield Unit Pricing'!E98</f>
        <v>241586.28999999998</v>
      </c>
      <c r="G45" s="22">
        <f t="shared" ref="G45" si="9">D45*F45</f>
        <v>241586.28999999998</v>
      </c>
      <c r="H45" s="121">
        <v>241586</v>
      </c>
      <c r="I45" s="120">
        <v>0</v>
      </c>
      <c r="J45" s="121">
        <f>H45</f>
        <v>241586</v>
      </c>
      <c r="K45" s="121"/>
      <c r="L45" s="91"/>
      <c r="M45" s="105"/>
    </row>
    <row r="46" spans="1:13">
      <c r="A46" s="139"/>
      <c r="B46" s="139"/>
      <c r="C46" s="118" t="s">
        <v>133</v>
      </c>
      <c r="D46" s="18">
        <v>8</v>
      </c>
      <c r="E46" s="10" t="s">
        <v>6</v>
      </c>
      <c r="F46" s="22">
        <v>7500</v>
      </c>
      <c r="G46" s="22">
        <f t="shared" si="8"/>
        <v>60000</v>
      </c>
      <c r="H46" s="22">
        <f t="shared" si="1"/>
        <v>60000</v>
      </c>
      <c r="I46" s="120">
        <v>20000</v>
      </c>
      <c r="J46" s="22">
        <v>40000</v>
      </c>
      <c r="K46" s="66"/>
      <c r="L46" s="91" t="s">
        <v>180</v>
      </c>
    </row>
    <row r="47" spans="1:13">
      <c r="A47" s="139"/>
      <c r="B47" s="139"/>
      <c r="C47" s="118" t="s">
        <v>134</v>
      </c>
      <c r="D47" s="18">
        <v>1</v>
      </c>
      <c r="E47" s="10" t="s">
        <v>3</v>
      </c>
      <c r="F47" s="22">
        <v>85000</v>
      </c>
      <c r="G47" s="22">
        <f t="shared" si="8"/>
        <v>85000</v>
      </c>
      <c r="H47" s="22">
        <f t="shared" si="1"/>
        <v>85000</v>
      </c>
      <c r="I47" s="120"/>
      <c r="J47" s="22">
        <v>85000</v>
      </c>
      <c r="K47" s="66">
        <v>85000</v>
      </c>
      <c r="L47" s="91" t="s">
        <v>135</v>
      </c>
      <c r="M47" s="105">
        <f>D47</f>
        <v>1</v>
      </c>
    </row>
    <row r="48" spans="1:13">
      <c r="A48" s="139"/>
      <c r="B48" s="139"/>
      <c r="C48" s="118" t="s">
        <v>181</v>
      </c>
      <c r="D48" s="18">
        <v>600</v>
      </c>
      <c r="E48" s="10" t="s">
        <v>67</v>
      </c>
      <c r="F48" s="22">
        <v>120</v>
      </c>
      <c r="G48" s="22">
        <f t="shared" si="8"/>
        <v>72000</v>
      </c>
      <c r="H48" s="22">
        <f t="shared" si="1"/>
        <v>72000</v>
      </c>
      <c r="I48" s="22">
        <f t="shared" si="2"/>
        <v>72000</v>
      </c>
      <c r="J48" s="22">
        <v>0</v>
      </c>
      <c r="K48" s="66"/>
      <c r="L48" s="91"/>
    </row>
    <row r="49" spans="1:14">
      <c r="A49" s="139"/>
      <c r="B49" s="139"/>
      <c r="C49" s="118" t="s">
        <v>182</v>
      </c>
      <c r="D49" s="18">
        <v>4</v>
      </c>
      <c r="E49" s="10" t="s">
        <v>6</v>
      </c>
      <c r="F49" s="22">
        <v>18000</v>
      </c>
      <c r="G49" s="22">
        <f t="shared" si="8"/>
        <v>72000</v>
      </c>
      <c r="H49" s="22">
        <f t="shared" si="1"/>
        <v>72000</v>
      </c>
      <c r="I49" s="22">
        <v>54000</v>
      </c>
      <c r="J49" s="22">
        <v>18000</v>
      </c>
      <c r="K49" s="66">
        <v>72000</v>
      </c>
      <c r="L49" s="91" t="s">
        <v>136</v>
      </c>
    </row>
    <row r="50" spans="1:14">
      <c r="A50" s="139"/>
      <c r="B50" s="139"/>
      <c r="C50" s="118"/>
      <c r="D50" s="18"/>
      <c r="E50" s="10"/>
      <c r="F50" s="89" t="s">
        <v>61</v>
      </c>
      <c r="G50" s="89">
        <f>SUM(G40:G49)</f>
        <v>2099512.4850000003</v>
      </c>
      <c r="H50" s="89">
        <f>SUM(H40:H49)</f>
        <v>2099512.1950000003</v>
      </c>
      <c r="I50" s="89">
        <f>SUM(I40:I49)</f>
        <v>1169818.125</v>
      </c>
      <c r="J50" s="128">
        <f>SUM(J40:J49)</f>
        <v>929694</v>
      </c>
      <c r="K50" s="128"/>
      <c r="L50" s="92"/>
    </row>
    <row r="51" spans="1:14">
      <c r="A51" s="139"/>
      <c r="B51" s="139"/>
      <c r="C51" s="118"/>
      <c r="D51" s="18"/>
      <c r="E51" s="10"/>
      <c r="F51" s="22"/>
      <c r="G51" s="22"/>
      <c r="H51" s="22"/>
      <c r="I51" s="22"/>
      <c r="J51" s="66"/>
      <c r="K51" s="66"/>
      <c r="L51" s="91"/>
    </row>
    <row r="52" spans="1:14">
      <c r="A52" s="140"/>
      <c r="B52" s="140"/>
      <c r="C52" s="13" t="s">
        <v>62</v>
      </c>
      <c r="D52" s="30"/>
      <c r="E52" s="31"/>
      <c r="F52" s="32"/>
      <c r="G52" s="32"/>
      <c r="H52" s="32"/>
      <c r="I52" s="32"/>
      <c r="J52" s="32"/>
      <c r="K52" s="32"/>
      <c r="L52" s="90"/>
      <c r="M52" s="105"/>
    </row>
    <row r="53" spans="1:14">
      <c r="A53" s="139"/>
      <c r="B53" s="139"/>
      <c r="C53" s="118" t="s">
        <v>229</v>
      </c>
      <c r="D53" s="18">
        <v>4</v>
      </c>
      <c r="E53" s="10" t="s">
        <v>6</v>
      </c>
      <c r="F53" s="22">
        <f>0.8*N53</f>
        <v>200000</v>
      </c>
      <c r="G53" s="22">
        <f>D53*F53</f>
        <v>800000</v>
      </c>
      <c r="H53" s="22">
        <f t="shared" si="1"/>
        <v>800000</v>
      </c>
      <c r="I53" s="120">
        <v>400000</v>
      </c>
      <c r="J53" s="22">
        <v>400000</v>
      </c>
      <c r="K53" s="66"/>
      <c r="L53" s="91" t="s">
        <v>222</v>
      </c>
      <c r="N53" s="1">
        <v>250000</v>
      </c>
    </row>
    <row r="54" spans="1:14">
      <c r="A54" s="139"/>
      <c r="B54" s="139"/>
      <c r="C54" s="118" t="s">
        <v>219</v>
      </c>
      <c r="D54" s="18">
        <v>4</v>
      </c>
      <c r="E54" s="10" t="s">
        <v>6</v>
      </c>
      <c r="F54" s="22">
        <v>50000</v>
      </c>
      <c r="G54" s="22">
        <f>D54*F54</f>
        <v>200000</v>
      </c>
      <c r="H54" s="22">
        <f t="shared" si="1"/>
        <v>200000</v>
      </c>
      <c r="I54" s="120">
        <v>200000</v>
      </c>
      <c r="J54" s="22">
        <v>0</v>
      </c>
      <c r="K54" s="66"/>
      <c r="L54" s="91" t="s">
        <v>221</v>
      </c>
      <c r="N54" s="1">
        <v>200000</v>
      </c>
    </row>
    <row r="55" spans="1:14">
      <c r="A55" s="139"/>
      <c r="B55" s="139"/>
      <c r="C55" s="118" t="s">
        <v>230</v>
      </c>
      <c r="D55" s="18">
        <v>3</v>
      </c>
      <c r="E55" s="10" t="s">
        <v>6</v>
      </c>
      <c r="F55" s="22">
        <f>0.8*N54</f>
        <v>160000</v>
      </c>
      <c r="G55" s="22">
        <f>D55*F55</f>
        <v>480000</v>
      </c>
      <c r="H55" s="66">
        <v>480000</v>
      </c>
      <c r="I55" s="120">
        <v>160000</v>
      </c>
      <c r="J55" s="66">
        <v>320000</v>
      </c>
      <c r="K55" s="66"/>
      <c r="L55" s="91" t="s">
        <v>70</v>
      </c>
    </row>
    <row r="56" spans="1:14">
      <c r="A56" s="139"/>
      <c r="B56" s="139"/>
      <c r="C56" s="118" t="s">
        <v>220</v>
      </c>
      <c r="D56" s="18">
        <v>3</v>
      </c>
      <c r="E56" s="10" t="s">
        <v>6</v>
      </c>
      <c r="F56" s="22">
        <v>40000</v>
      </c>
      <c r="G56" s="22">
        <f>D56*F56</f>
        <v>120000</v>
      </c>
      <c r="H56" s="66">
        <v>120000</v>
      </c>
      <c r="I56" s="120">
        <v>80000</v>
      </c>
      <c r="J56" s="66">
        <f>F56</f>
        <v>40000</v>
      </c>
      <c r="K56" s="66"/>
      <c r="L56" s="91"/>
    </row>
    <row r="57" spans="1:14">
      <c r="A57" s="139"/>
      <c r="B57" s="139"/>
      <c r="C57" s="118"/>
      <c r="D57" s="18"/>
      <c r="E57" s="10"/>
      <c r="F57" s="89" t="s">
        <v>63</v>
      </c>
      <c r="G57" s="89">
        <f>SUM(G53:G56)</f>
        <v>1600000</v>
      </c>
      <c r="H57" s="89">
        <f>SUM(H53:H56)</f>
        <v>1600000</v>
      </c>
      <c r="I57" s="89">
        <f>SUM(I53:I56)</f>
        <v>840000</v>
      </c>
      <c r="J57" s="128">
        <f>SUM(J53:J56)</f>
        <v>760000</v>
      </c>
      <c r="K57" s="128"/>
      <c r="L57" s="92"/>
    </row>
    <row r="58" spans="1:14">
      <c r="A58" s="139"/>
      <c r="B58" s="139"/>
      <c r="C58" s="118"/>
      <c r="D58" s="18"/>
      <c r="E58" s="10"/>
      <c r="F58" s="22"/>
      <c r="G58" s="22"/>
      <c r="H58" s="22"/>
      <c r="I58" s="22"/>
      <c r="J58" s="66"/>
      <c r="K58" s="66"/>
      <c r="L58" s="91"/>
    </row>
    <row r="59" spans="1:14">
      <c r="A59" s="140"/>
      <c r="B59" s="140"/>
      <c r="C59" s="13" t="s">
        <v>64</v>
      </c>
      <c r="D59" s="30"/>
      <c r="E59" s="31"/>
      <c r="F59" s="32"/>
      <c r="G59" s="32"/>
      <c r="H59" s="32"/>
      <c r="I59" s="32"/>
      <c r="J59" s="32"/>
      <c r="K59" s="32"/>
      <c r="L59" s="90"/>
    </row>
    <row r="60" spans="1:14">
      <c r="A60" s="139"/>
      <c r="B60" s="139"/>
      <c r="C60" s="118" t="s">
        <v>147</v>
      </c>
      <c r="D60" s="18">
        <v>1215</v>
      </c>
      <c r="E60" s="10" t="s">
        <v>4</v>
      </c>
      <c r="F60" s="22">
        <v>230</v>
      </c>
      <c r="G60" s="22">
        <f t="shared" ref="G60:G67" si="10">D60*F60</f>
        <v>279450</v>
      </c>
      <c r="H60" s="22">
        <f t="shared" si="1"/>
        <v>279450</v>
      </c>
      <c r="I60" s="22">
        <f t="shared" si="2"/>
        <v>279450</v>
      </c>
      <c r="J60" s="22">
        <v>0</v>
      </c>
      <c r="K60" s="66"/>
      <c r="L60" s="91"/>
      <c r="M60" s="1">
        <v>1560</v>
      </c>
    </row>
    <row r="61" spans="1:14">
      <c r="A61" s="139"/>
      <c r="B61" s="139"/>
      <c r="C61" s="118" t="s">
        <v>148</v>
      </c>
      <c r="D61" s="18">
        <v>6100</v>
      </c>
      <c r="E61" s="10" t="s">
        <v>4</v>
      </c>
      <c r="F61" s="22">
        <v>200</v>
      </c>
      <c r="G61" s="22">
        <f t="shared" si="10"/>
        <v>1220000</v>
      </c>
      <c r="H61" s="22">
        <f t="shared" si="1"/>
        <v>1220000</v>
      </c>
      <c r="I61" s="22">
        <f t="shared" si="2"/>
        <v>1220000</v>
      </c>
      <c r="J61" s="22">
        <v>0</v>
      </c>
      <c r="K61" s="66"/>
      <c r="L61" s="91"/>
    </row>
    <row r="62" spans="1:14">
      <c r="A62" s="139"/>
      <c r="B62" s="139"/>
      <c r="C62" s="118" t="s">
        <v>161</v>
      </c>
      <c r="D62" s="18">
        <v>1000</v>
      </c>
      <c r="E62" s="10" t="s">
        <v>4</v>
      </c>
      <c r="F62" s="22">
        <v>190</v>
      </c>
      <c r="G62" s="22">
        <f t="shared" ref="G62" si="11">D62*F62</f>
        <v>190000</v>
      </c>
      <c r="H62" s="22">
        <f t="shared" si="1"/>
        <v>190000</v>
      </c>
      <c r="I62" s="120">
        <v>0</v>
      </c>
      <c r="J62" s="22">
        <v>190000</v>
      </c>
      <c r="K62" s="66"/>
      <c r="L62" s="91"/>
    </row>
    <row r="63" spans="1:14">
      <c r="A63" s="139"/>
      <c r="B63" s="139"/>
      <c r="C63" s="118" t="s">
        <v>137</v>
      </c>
      <c r="D63" s="18">
        <v>1460</v>
      </c>
      <c r="E63" s="10" t="s">
        <v>4</v>
      </c>
      <c r="F63" s="22">
        <v>140</v>
      </c>
      <c r="G63" s="22">
        <f t="shared" si="10"/>
        <v>204400</v>
      </c>
      <c r="H63" s="22">
        <f t="shared" si="1"/>
        <v>204400</v>
      </c>
      <c r="I63" s="22">
        <f t="shared" si="2"/>
        <v>204400</v>
      </c>
      <c r="J63" s="22">
        <v>0</v>
      </c>
      <c r="K63" s="66"/>
      <c r="L63" s="91"/>
    </row>
    <row r="64" spans="1:14">
      <c r="A64" s="139"/>
      <c r="B64" s="139"/>
      <c r="C64" s="118" t="s">
        <v>149</v>
      </c>
      <c r="D64" s="18">
        <v>1</v>
      </c>
      <c r="E64" s="10" t="s">
        <v>3</v>
      </c>
      <c r="F64" s="22">
        <v>50000</v>
      </c>
      <c r="G64" s="22">
        <f t="shared" si="10"/>
        <v>50000</v>
      </c>
      <c r="H64" s="22">
        <f t="shared" ref="H64:H76" si="12">G64</f>
        <v>50000</v>
      </c>
      <c r="I64" s="22">
        <f t="shared" ref="I64:I75" si="13">G64</f>
        <v>50000</v>
      </c>
      <c r="J64" s="22">
        <v>0</v>
      </c>
      <c r="K64" s="66"/>
      <c r="L64" s="91"/>
    </row>
    <row r="65" spans="1:13">
      <c r="A65" s="139"/>
      <c r="B65" s="139"/>
      <c r="C65" s="118" t="s">
        <v>150</v>
      </c>
      <c r="D65" s="18">
        <v>1</v>
      </c>
      <c r="E65" s="10" t="s">
        <v>3</v>
      </c>
      <c r="F65" s="22">
        <v>60000</v>
      </c>
      <c r="G65" s="22">
        <f t="shared" si="10"/>
        <v>60000</v>
      </c>
      <c r="H65" s="22">
        <f t="shared" si="12"/>
        <v>60000</v>
      </c>
      <c r="I65" s="22">
        <f t="shared" si="13"/>
        <v>60000</v>
      </c>
      <c r="J65" s="22">
        <v>0</v>
      </c>
      <c r="K65" s="66"/>
      <c r="L65" s="91"/>
    </row>
    <row r="66" spans="1:13">
      <c r="A66" s="139"/>
      <c r="B66" s="139"/>
      <c r="C66" s="118" t="s">
        <v>151</v>
      </c>
      <c r="D66" s="18">
        <v>1</v>
      </c>
      <c r="E66" s="10" t="s">
        <v>3</v>
      </c>
      <c r="F66" s="22">
        <v>30000</v>
      </c>
      <c r="G66" s="22">
        <f t="shared" si="10"/>
        <v>30000</v>
      </c>
      <c r="H66" s="22">
        <f t="shared" si="12"/>
        <v>30000</v>
      </c>
      <c r="I66" s="22">
        <f t="shared" si="13"/>
        <v>30000</v>
      </c>
      <c r="J66" s="22">
        <v>0</v>
      </c>
      <c r="K66" s="66"/>
      <c r="L66" s="91"/>
    </row>
    <row r="67" spans="1:13">
      <c r="A67" s="139"/>
      <c r="B67" s="139"/>
      <c r="C67" s="118" t="s">
        <v>152</v>
      </c>
      <c r="D67" s="18">
        <v>1</v>
      </c>
      <c r="E67" s="10" t="s">
        <v>3</v>
      </c>
      <c r="F67" s="22">
        <v>15000</v>
      </c>
      <c r="G67" s="22">
        <f t="shared" si="10"/>
        <v>15000</v>
      </c>
      <c r="H67" s="22">
        <f t="shared" si="12"/>
        <v>15000</v>
      </c>
      <c r="I67" s="22">
        <f t="shared" si="13"/>
        <v>15000</v>
      </c>
      <c r="J67" s="22">
        <v>0</v>
      </c>
      <c r="K67" s="66"/>
      <c r="L67" s="91"/>
    </row>
    <row r="68" spans="1:13">
      <c r="A68" s="139"/>
      <c r="B68" s="139"/>
      <c r="C68" s="118"/>
      <c r="D68" s="18"/>
      <c r="E68" s="10"/>
      <c r="F68" s="89" t="s">
        <v>65</v>
      </c>
      <c r="G68" s="89">
        <f>SUM(G60:G67)</f>
        <v>2048850</v>
      </c>
      <c r="H68" s="89">
        <f>SUM(H60:H67)</f>
        <v>2048850</v>
      </c>
      <c r="I68" s="89">
        <f>SUM(I60:I67)</f>
        <v>1858850</v>
      </c>
      <c r="J68" s="128">
        <f>SUM(J60:J67)</f>
        <v>190000</v>
      </c>
      <c r="K68" s="128"/>
      <c r="L68" s="92"/>
    </row>
    <row r="69" spans="1:13">
      <c r="A69" s="139"/>
      <c r="B69" s="139"/>
      <c r="C69" s="118"/>
      <c r="D69" s="18"/>
      <c r="E69" s="10"/>
      <c r="F69" s="22"/>
      <c r="G69" s="22"/>
      <c r="H69" s="22"/>
      <c r="I69" s="22"/>
      <c r="J69" s="66"/>
      <c r="K69" s="66"/>
      <c r="L69" s="91"/>
    </row>
    <row r="70" spans="1:13">
      <c r="A70" s="140"/>
      <c r="B70" s="140"/>
      <c r="C70" s="13" t="s">
        <v>66</v>
      </c>
      <c r="D70" s="30"/>
      <c r="E70" s="31"/>
      <c r="F70" s="32"/>
      <c r="G70" s="32"/>
      <c r="H70" s="32"/>
      <c r="I70" s="32"/>
      <c r="J70" s="32"/>
      <c r="K70" s="32"/>
      <c r="L70" s="90"/>
    </row>
    <row r="71" spans="1:13">
      <c r="A71" s="139"/>
      <c r="B71" s="139"/>
      <c r="C71" s="118" t="s">
        <v>138</v>
      </c>
      <c r="D71" s="18">
        <v>4300</v>
      </c>
      <c r="E71" s="10" t="s">
        <v>67</v>
      </c>
      <c r="F71" s="22">
        <v>12</v>
      </c>
      <c r="G71" s="22">
        <f t="shared" ref="G71:G74" si="14">D71*F71</f>
        <v>51600</v>
      </c>
      <c r="H71" s="22">
        <f t="shared" si="12"/>
        <v>51600</v>
      </c>
      <c r="I71" s="22">
        <f t="shared" si="13"/>
        <v>51600</v>
      </c>
      <c r="J71" s="22">
        <v>0</v>
      </c>
      <c r="K71" s="66">
        <v>51000</v>
      </c>
      <c r="L71" s="91"/>
      <c r="M71" s="105">
        <f>D71*6</f>
        <v>25800</v>
      </c>
    </row>
    <row r="72" spans="1:13">
      <c r="A72" s="139"/>
      <c r="B72" s="139"/>
      <c r="C72" s="118" t="s">
        <v>139</v>
      </c>
      <c r="D72" s="18">
        <v>1</v>
      </c>
      <c r="E72" s="10" t="s">
        <v>3</v>
      </c>
      <c r="F72" s="22">
        <v>100000</v>
      </c>
      <c r="G72" s="22">
        <f t="shared" si="14"/>
        <v>100000</v>
      </c>
      <c r="H72" s="22">
        <f t="shared" si="12"/>
        <v>100000</v>
      </c>
      <c r="I72" s="120">
        <v>0</v>
      </c>
      <c r="J72" s="22">
        <v>100000</v>
      </c>
      <c r="K72" s="66"/>
      <c r="L72" s="91"/>
    </row>
    <row r="73" spans="1:13">
      <c r="A73" s="139"/>
      <c r="B73" s="139"/>
      <c r="C73" s="118" t="s">
        <v>140</v>
      </c>
      <c r="D73" s="18">
        <v>1</v>
      </c>
      <c r="E73" s="10" t="s">
        <v>3</v>
      </c>
      <c r="F73" s="22">
        <v>100000</v>
      </c>
      <c r="G73" s="22">
        <f t="shared" si="14"/>
        <v>100000</v>
      </c>
      <c r="H73" s="22">
        <f t="shared" si="12"/>
        <v>100000</v>
      </c>
      <c r="I73" s="22">
        <f t="shared" si="13"/>
        <v>100000</v>
      </c>
      <c r="J73" s="22">
        <v>0</v>
      </c>
      <c r="K73" s="66"/>
      <c r="L73" s="91"/>
    </row>
    <row r="74" spans="1:13">
      <c r="A74" s="139"/>
      <c r="B74" s="139"/>
      <c r="C74" s="118" t="s">
        <v>171</v>
      </c>
      <c r="D74" s="18">
        <v>150</v>
      </c>
      <c r="E74" s="10" t="s">
        <v>6</v>
      </c>
      <c r="F74" s="22">
        <v>750</v>
      </c>
      <c r="G74" s="22">
        <f t="shared" si="14"/>
        <v>112500</v>
      </c>
      <c r="H74" s="22">
        <f t="shared" si="12"/>
        <v>112500</v>
      </c>
      <c r="I74" s="22">
        <f t="shared" si="13"/>
        <v>112500</v>
      </c>
      <c r="J74" s="22">
        <v>0</v>
      </c>
      <c r="K74" s="66"/>
      <c r="L74" s="91" t="s">
        <v>187</v>
      </c>
    </row>
    <row r="75" spans="1:13">
      <c r="A75" s="139"/>
      <c r="B75" s="139"/>
      <c r="C75" s="118" t="s">
        <v>170</v>
      </c>
      <c r="D75" s="18">
        <v>540</v>
      </c>
      <c r="E75" s="10" t="s">
        <v>6</v>
      </c>
      <c r="F75" s="22">
        <v>80</v>
      </c>
      <c r="G75" s="22">
        <f t="shared" ref="G75" si="15">D75*F75</f>
        <v>43200</v>
      </c>
      <c r="H75" s="22">
        <f t="shared" si="12"/>
        <v>43200</v>
      </c>
      <c r="I75" s="22">
        <f t="shared" si="13"/>
        <v>43200</v>
      </c>
      <c r="J75" s="22">
        <v>0</v>
      </c>
      <c r="K75" s="66"/>
      <c r="L75" s="91" t="s">
        <v>172</v>
      </c>
    </row>
    <row r="76" spans="1:13">
      <c r="A76" s="139"/>
      <c r="B76" s="139"/>
      <c r="C76" s="118" t="s">
        <v>11</v>
      </c>
      <c r="D76" s="18">
        <v>1</v>
      </c>
      <c r="E76" s="10" t="s">
        <v>3</v>
      </c>
      <c r="F76" s="22">
        <v>100000</v>
      </c>
      <c r="G76" s="22">
        <f t="shared" ref="G76" si="16">D76*F76</f>
        <v>100000</v>
      </c>
      <c r="H76" s="22">
        <f t="shared" si="12"/>
        <v>100000</v>
      </c>
      <c r="I76" s="22">
        <v>100000</v>
      </c>
      <c r="J76" s="22">
        <v>0</v>
      </c>
      <c r="K76" s="136">
        <v>100000</v>
      </c>
      <c r="L76" s="91"/>
    </row>
    <row r="77" spans="1:13">
      <c r="A77" s="139"/>
      <c r="B77" s="139"/>
      <c r="C77" s="118"/>
      <c r="D77" s="18"/>
      <c r="E77" s="10"/>
      <c r="F77" s="89" t="s">
        <v>68</v>
      </c>
      <c r="G77" s="89">
        <f>SUM(G71:G76)</f>
        <v>507300</v>
      </c>
      <c r="H77" s="89">
        <f>SUM(H71:H76)</f>
        <v>507300</v>
      </c>
      <c r="I77" s="89">
        <f>SUM(I71:I76)</f>
        <v>407300</v>
      </c>
      <c r="J77" s="128">
        <f>SUM(J71:J76)</f>
        <v>100000</v>
      </c>
      <c r="K77" s="128"/>
      <c r="L77" s="92"/>
    </row>
    <row r="78" spans="1:13">
      <c r="A78" s="139"/>
      <c r="B78" s="139"/>
      <c r="C78" s="118"/>
      <c r="D78" s="18"/>
      <c r="E78" s="10"/>
      <c r="F78" s="22"/>
      <c r="G78" s="22"/>
      <c r="H78" s="22"/>
      <c r="I78" s="22"/>
      <c r="J78" s="66"/>
      <c r="K78" s="66"/>
      <c r="L78" s="91"/>
    </row>
    <row r="79" spans="1:13">
      <c r="A79" s="140"/>
      <c r="B79" s="140"/>
      <c r="C79" s="13" t="s">
        <v>76</v>
      </c>
      <c r="D79" s="30"/>
      <c r="E79" s="31"/>
      <c r="F79" s="32"/>
      <c r="G79" s="32"/>
      <c r="H79" s="32"/>
      <c r="I79" s="32"/>
      <c r="J79" s="32"/>
      <c r="K79" s="32"/>
      <c r="L79" s="90"/>
      <c r="M79" s="1">
        <f>SUM(M11:M78)</f>
        <v>1219946</v>
      </c>
    </row>
    <row r="80" spans="1:13">
      <c r="A80" s="139"/>
      <c r="B80" s="139"/>
      <c r="C80" s="118" t="s">
        <v>74</v>
      </c>
      <c r="D80" s="18"/>
      <c r="E80" s="10"/>
      <c r="F80" s="22"/>
      <c r="G80" s="22">
        <f>G9+G37+G50+G57+G68+G77+G24</f>
        <v>9127901.3849999998</v>
      </c>
      <c r="H80" s="22">
        <f>H9+H24+H37+H50+H57+H68+H77</f>
        <v>9127901.0950000007</v>
      </c>
      <c r="I80" s="22">
        <f>I9+I24+I37+I50+I57+I68+I77</f>
        <v>7148207.0250000004</v>
      </c>
      <c r="J80" s="22">
        <f>J9+J24+J37+J50+J57+J68+J77</f>
        <v>1979694</v>
      </c>
      <c r="K80" s="22"/>
      <c r="L80" s="91"/>
    </row>
    <row r="81" spans="1:12">
      <c r="A81" s="139"/>
      <c r="B81" s="139"/>
      <c r="C81" s="118" t="s">
        <v>141</v>
      </c>
      <c r="D81" s="18"/>
      <c r="E81" s="10"/>
      <c r="F81" s="22"/>
      <c r="G81" s="22">
        <f>G80*0.04</f>
        <v>365116.05540000001</v>
      </c>
      <c r="H81" s="22"/>
      <c r="I81" s="22"/>
      <c r="J81" s="22"/>
      <c r="K81" s="22"/>
      <c r="L81" s="91" t="s">
        <v>188</v>
      </c>
    </row>
    <row r="82" spans="1:12">
      <c r="A82" s="139"/>
      <c r="B82" s="139"/>
      <c r="C82" s="118" t="s">
        <v>72</v>
      </c>
      <c r="D82" s="18"/>
      <c r="E82" s="10"/>
      <c r="F82" s="22"/>
      <c r="G82" s="22">
        <f>(G80+G81)*0.1</f>
        <v>949301.74404000014</v>
      </c>
      <c r="H82" s="22"/>
      <c r="I82" s="22"/>
      <c r="J82" s="22"/>
      <c r="K82" s="22"/>
      <c r="L82" s="91" t="s">
        <v>75</v>
      </c>
    </row>
    <row r="83" spans="1:12">
      <c r="A83" s="139"/>
      <c r="B83" s="139"/>
      <c r="C83" s="118" t="s">
        <v>142</v>
      </c>
      <c r="D83" s="18"/>
      <c r="E83" s="10"/>
      <c r="F83" s="22"/>
      <c r="G83" s="22">
        <f>(G80+G81)*0.05</f>
        <v>474650.87202000007</v>
      </c>
      <c r="H83" s="22">
        <f>H80*0.05</f>
        <v>456395.05475000007</v>
      </c>
      <c r="I83" s="22">
        <f>I80*0.05</f>
        <v>357410.35125000007</v>
      </c>
      <c r="J83" s="22">
        <f>J80*0.05</f>
        <v>98984.700000000012</v>
      </c>
      <c r="K83" s="22"/>
      <c r="L83" s="91" t="s">
        <v>144</v>
      </c>
    </row>
    <row r="84" spans="1:12" ht="6.6" customHeight="1">
      <c r="A84" s="139"/>
      <c r="B84" s="139"/>
      <c r="C84" s="73"/>
      <c r="D84" s="18"/>
      <c r="E84" s="10"/>
      <c r="F84" s="66"/>
      <c r="G84" s="22"/>
      <c r="H84" s="22"/>
      <c r="I84" s="22"/>
      <c r="J84" s="22"/>
      <c r="K84" s="22"/>
      <c r="L84" s="91"/>
    </row>
    <row r="85" spans="1:12" ht="18.75">
      <c r="A85" s="139"/>
      <c r="B85" s="139"/>
      <c r="C85" s="94" t="s">
        <v>73</v>
      </c>
      <c r="D85" s="95"/>
      <c r="E85" s="96"/>
      <c r="F85" s="97"/>
      <c r="G85" s="98">
        <f>SUM(G80:G84)</f>
        <v>10916970.056460001</v>
      </c>
      <c r="H85" s="98">
        <f>H9+H24+H37+H50+H57+H68+H77+H83</f>
        <v>9584296.1497499999</v>
      </c>
      <c r="I85" s="98">
        <f>I9+I24+I37+I50+I57+I68+I77+I83</f>
        <v>7505617.3762500007</v>
      </c>
      <c r="J85" s="98">
        <f>J9+J24+J37+J50+J57+J68+J77+J83</f>
        <v>2078678.7</v>
      </c>
      <c r="K85" s="98">
        <f>SUM(K3:K84)</f>
        <v>721525</v>
      </c>
      <c r="L85" s="91"/>
    </row>
    <row r="86" spans="1:12">
      <c r="A86" s="139"/>
      <c r="B86" s="139"/>
      <c r="C86" s="73"/>
      <c r="D86" s="18"/>
      <c r="E86" s="10"/>
      <c r="F86" s="66"/>
      <c r="G86" s="22"/>
      <c r="H86" s="22"/>
      <c r="I86" s="22"/>
      <c r="J86" s="22"/>
      <c r="K86" s="22"/>
      <c r="L86" s="91"/>
    </row>
    <row r="87" spans="1:12" ht="18.75">
      <c r="A87" s="139"/>
      <c r="B87" s="139"/>
      <c r="C87" s="73"/>
      <c r="D87" s="18"/>
      <c r="E87" s="10"/>
      <c r="F87" s="66"/>
      <c r="G87" s="130" t="s">
        <v>228</v>
      </c>
      <c r="H87" s="98">
        <f>H85-K85</f>
        <v>8862771.1497499999</v>
      </c>
      <c r="I87" s="98">
        <f>I85-K85</f>
        <v>6784092.3762500007</v>
      </c>
      <c r="J87" s="22"/>
      <c r="K87" s="22"/>
      <c r="L87" s="91"/>
    </row>
    <row r="88" spans="1:12">
      <c r="A88" s="139"/>
      <c r="B88" s="139"/>
      <c r="C88" s="73"/>
      <c r="D88" s="18"/>
      <c r="E88" s="10"/>
      <c r="F88" s="66"/>
      <c r="G88" s="22"/>
      <c r="H88" s="22"/>
      <c r="I88" s="22"/>
      <c r="J88" s="22"/>
      <c r="K88" s="22"/>
      <c r="L88" s="91"/>
    </row>
    <row r="89" spans="1:12">
      <c r="A89" s="139"/>
      <c r="B89" s="139"/>
      <c r="C89" s="73"/>
      <c r="D89" s="18"/>
      <c r="E89" s="10"/>
      <c r="F89" s="66"/>
      <c r="G89" s="22"/>
      <c r="H89" s="22"/>
      <c r="I89" s="22"/>
      <c r="J89" s="22"/>
      <c r="K89" s="22"/>
      <c r="L89" s="91"/>
    </row>
    <row r="90" spans="1:12">
      <c r="A90" s="139"/>
      <c r="B90" s="139"/>
      <c r="C90" s="73"/>
      <c r="D90" s="18"/>
      <c r="E90" s="10"/>
      <c r="F90" s="66"/>
      <c r="G90" s="22"/>
      <c r="H90" s="22"/>
      <c r="I90" s="22"/>
      <c r="J90" s="22"/>
      <c r="K90" s="22"/>
      <c r="L90" s="91"/>
    </row>
    <row r="91" spans="1:12">
      <c r="A91" s="139"/>
      <c r="B91" s="139"/>
      <c r="C91" s="73"/>
      <c r="D91" s="18"/>
      <c r="E91" s="10"/>
      <c r="F91" s="66"/>
      <c r="G91" s="22"/>
      <c r="H91" s="22"/>
      <c r="I91" s="22"/>
      <c r="J91" s="22"/>
      <c r="K91" s="22"/>
      <c r="L91" s="91"/>
    </row>
  </sheetData>
  <mergeCells count="1">
    <mergeCell ref="I1:J1"/>
  </mergeCells>
  <printOptions horizontalCentered="1"/>
  <pageMargins left="0.25" right="0.25" top="0.9" bottom="0.75" header="0.3" footer="0.3"/>
  <pageSetup paperSize="3" scale="87" orientation="portrait" r:id="rId1"/>
  <headerFooter>
    <oddHeader>&amp;C&amp;"-,Bold"&amp;12Town of Abingdon
Athletic Complex Cost Estimate 
&amp;"-,Regular"November 19, 2018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opLeftCell="A73" workbookViewId="0">
      <selection activeCell="E14" sqref="E14"/>
    </sheetView>
  </sheetViews>
  <sheetFormatPr defaultRowHeight="15"/>
  <cols>
    <col min="1" max="1" width="31.5703125" customWidth="1"/>
    <col min="3" max="3" width="10.42578125" customWidth="1"/>
    <col min="4" max="4" width="13" customWidth="1"/>
    <col min="5" max="5" width="17.7109375" customWidth="1"/>
    <col min="6" max="6" width="49" customWidth="1"/>
  </cols>
  <sheetData>
    <row r="1" spans="1:6" s="16" customFormat="1" ht="15.75" thickBot="1">
      <c r="A1" s="72" t="s">
        <v>189</v>
      </c>
      <c r="B1" s="28" t="s">
        <v>191</v>
      </c>
      <c r="C1" s="28" t="s">
        <v>190</v>
      </c>
      <c r="D1" s="29" t="s">
        <v>192</v>
      </c>
      <c r="E1" s="51" t="s">
        <v>193</v>
      </c>
      <c r="F1" s="51" t="s">
        <v>194</v>
      </c>
    </row>
    <row r="2" spans="1:6" s="8" customFormat="1">
      <c r="A2" s="13" t="s">
        <v>212</v>
      </c>
      <c r="B2" s="31"/>
      <c r="C2" s="30"/>
      <c r="D2" s="32"/>
      <c r="E2" s="32"/>
      <c r="F2" s="32"/>
    </row>
    <row r="3" spans="1:6" s="1" customFormat="1">
      <c r="A3" s="118" t="s">
        <v>84</v>
      </c>
      <c r="B3" s="10">
        <v>1898</v>
      </c>
      <c r="C3" s="18" t="s">
        <v>90</v>
      </c>
      <c r="D3" s="88">
        <v>37</v>
      </c>
      <c r="E3" s="22">
        <f t="shared" ref="E3:E15" si="0">B3*D3</f>
        <v>70226</v>
      </c>
      <c r="F3" s="91"/>
    </row>
    <row r="4" spans="1:6" s="1" customFormat="1">
      <c r="A4" s="118" t="s">
        <v>195</v>
      </c>
      <c r="B4" s="10">
        <v>11046</v>
      </c>
      <c r="C4" s="18" t="s">
        <v>4</v>
      </c>
      <c r="D4" s="122">
        <v>3.25</v>
      </c>
      <c r="E4" s="22">
        <f t="shared" si="0"/>
        <v>35899.5</v>
      </c>
      <c r="F4" s="91"/>
    </row>
    <row r="5" spans="1:6" s="1" customFormat="1">
      <c r="A5" s="113" t="s">
        <v>210</v>
      </c>
      <c r="B5" s="115">
        <v>254</v>
      </c>
      <c r="C5" s="114" t="s">
        <v>4</v>
      </c>
      <c r="D5" s="122">
        <v>3.5</v>
      </c>
      <c r="E5" s="66">
        <f t="shared" si="0"/>
        <v>889</v>
      </c>
      <c r="F5" s="91"/>
    </row>
    <row r="6" spans="1:6" s="1" customFormat="1">
      <c r="A6" s="118" t="s">
        <v>196</v>
      </c>
      <c r="B6" s="10">
        <v>17848</v>
      </c>
      <c r="C6" s="18" t="s">
        <v>4</v>
      </c>
      <c r="D6" s="88">
        <v>1.75</v>
      </c>
      <c r="E6" s="22">
        <f t="shared" si="0"/>
        <v>31234</v>
      </c>
      <c r="F6" s="91"/>
    </row>
    <row r="7" spans="1:6" s="1" customFormat="1">
      <c r="A7" s="118" t="s">
        <v>204</v>
      </c>
      <c r="B7" s="10">
        <v>785</v>
      </c>
      <c r="C7" s="18" t="s">
        <v>67</v>
      </c>
      <c r="D7" s="88">
        <v>15</v>
      </c>
      <c r="E7" s="22">
        <f t="shared" si="0"/>
        <v>11775</v>
      </c>
      <c r="F7" s="91"/>
    </row>
    <row r="8" spans="1:6" s="1" customFormat="1">
      <c r="A8" s="118" t="s">
        <v>197</v>
      </c>
      <c r="B8" s="10">
        <v>0</v>
      </c>
      <c r="C8" s="18" t="s">
        <v>67</v>
      </c>
      <c r="D8" s="88">
        <v>20</v>
      </c>
      <c r="E8" s="22">
        <f t="shared" si="0"/>
        <v>0</v>
      </c>
      <c r="F8" s="91"/>
    </row>
    <row r="9" spans="1:6" s="1" customFormat="1">
      <c r="A9" s="118" t="s">
        <v>198</v>
      </c>
      <c r="B9" s="10">
        <v>0</v>
      </c>
      <c r="C9" s="18" t="s">
        <v>6</v>
      </c>
      <c r="D9" s="88">
        <v>700</v>
      </c>
      <c r="E9" s="22">
        <f t="shared" si="0"/>
        <v>0</v>
      </c>
      <c r="F9" s="91"/>
    </row>
    <row r="10" spans="1:6" s="1" customFormat="1">
      <c r="A10" s="118" t="s">
        <v>80</v>
      </c>
      <c r="B10" s="10">
        <v>1</v>
      </c>
      <c r="C10" s="18" t="s">
        <v>6</v>
      </c>
      <c r="D10" s="88">
        <v>35000</v>
      </c>
      <c r="E10" s="22">
        <f t="shared" si="0"/>
        <v>35000</v>
      </c>
      <c r="F10" s="91"/>
    </row>
    <row r="11" spans="1:6" s="1" customFormat="1">
      <c r="A11" s="118" t="s">
        <v>199</v>
      </c>
      <c r="B11" s="10">
        <v>2</v>
      </c>
      <c r="C11" s="18" t="s">
        <v>6</v>
      </c>
      <c r="D11" s="88">
        <v>16000</v>
      </c>
      <c r="E11" s="22">
        <f t="shared" si="0"/>
        <v>32000</v>
      </c>
      <c r="F11" s="91"/>
    </row>
    <row r="12" spans="1:6" s="1" customFormat="1">
      <c r="A12" s="118" t="s">
        <v>200</v>
      </c>
      <c r="B12" s="10">
        <v>1252</v>
      </c>
      <c r="C12" s="18" t="s">
        <v>67</v>
      </c>
      <c r="D12" s="88">
        <v>50</v>
      </c>
      <c r="E12" s="22">
        <f t="shared" si="0"/>
        <v>62600</v>
      </c>
      <c r="F12" s="91" t="s">
        <v>201</v>
      </c>
    </row>
    <row r="13" spans="1:6" s="1" customFormat="1">
      <c r="A13" s="118" t="s">
        <v>202</v>
      </c>
      <c r="B13" s="10">
        <v>2</v>
      </c>
      <c r="C13" s="18" t="s">
        <v>6</v>
      </c>
      <c r="D13" s="88">
        <v>5000</v>
      </c>
      <c r="E13" s="22">
        <f t="shared" si="0"/>
        <v>10000</v>
      </c>
      <c r="F13" s="91" t="s">
        <v>216</v>
      </c>
    </row>
    <row r="14" spans="1:6" s="1" customFormat="1">
      <c r="A14" s="118" t="s">
        <v>85</v>
      </c>
      <c r="B14" s="10">
        <v>76491</v>
      </c>
      <c r="C14" s="18" t="s">
        <v>4</v>
      </c>
      <c r="D14" s="88">
        <v>0.4</v>
      </c>
      <c r="E14" s="22">
        <f t="shared" si="0"/>
        <v>30596.400000000001</v>
      </c>
      <c r="F14" s="22"/>
    </row>
    <row r="15" spans="1:6" s="1" customFormat="1">
      <c r="A15" s="118" t="s">
        <v>207</v>
      </c>
      <c r="B15" s="10">
        <v>8500</v>
      </c>
      <c r="C15" s="18" t="s">
        <v>69</v>
      </c>
      <c r="D15" s="88">
        <v>4.25</v>
      </c>
      <c r="E15" s="22">
        <f t="shared" si="0"/>
        <v>36125</v>
      </c>
      <c r="F15" s="22"/>
    </row>
    <row r="16" spans="1:6" s="1" customFormat="1">
      <c r="A16" s="118"/>
      <c r="B16" s="10"/>
      <c r="C16" s="18"/>
      <c r="D16" s="88"/>
      <c r="E16" s="22">
        <f>SUM(E3:E15)</f>
        <v>356344.9</v>
      </c>
      <c r="F16" s="22"/>
    </row>
    <row r="17" spans="1:6" s="1" customFormat="1">
      <c r="A17" s="118" t="s">
        <v>203</v>
      </c>
      <c r="B17" s="10"/>
      <c r="C17" s="18"/>
      <c r="D17" s="88"/>
      <c r="E17" s="22">
        <f>E16*0.1</f>
        <v>35634.490000000005</v>
      </c>
      <c r="F17" s="22"/>
    </row>
    <row r="18" spans="1:6" s="1" customFormat="1">
      <c r="A18" s="118"/>
      <c r="B18" s="10"/>
      <c r="C18" s="18"/>
      <c r="D18" s="88"/>
      <c r="E18" s="22"/>
      <c r="F18" s="22"/>
    </row>
    <row r="19" spans="1:6" s="1" customFormat="1">
      <c r="A19" s="118"/>
      <c r="B19" s="10"/>
      <c r="C19" s="18"/>
      <c r="D19" s="89" t="s">
        <v>205</v>
      </c>
      <c r="E19" s="89">
        <f>SUM(E16:E17)</f>
        <v>391979.39</v>
      </c>
      <c r="F19" s="89"/>
    </row>
    <row r="20" spans="1:6" s="1" customFormat="1">
      <c r="A20" s="118"/>
      <c r="B20" s="10"/>
      <c r="C20" s="18"/>
      <c r="D20" s="88"/>
      <c r="E20" s="22"/>
      <c r="F20" s="22"/>
    </row>
    <row r="21" spans="1:6" s="126" customFormat="1">
      <c r="A21" s="13" t="s">
        <v>213</v>
      </c>
      <c r="B21" s="31"/>
      <c r="C21" s="30"/>
      <c r="D21" s="32"/>
      <c r="E21" s="32"/>
      <c r="F21" s="32"/>
    </row>
    <row r="22" spans="1:6" s="126" customFormat="1">
      <c r="A22" s="118" t="s">
        <v>84</v>
      </c>
      <c r="B22" s="10">
        <v>1581</v>
      </c>
      <c r="C22" s="18" t="s">
        <v>90</v>
      </c>
      <c r="D22" s="88">
        <v>37</v>
      </c>
      <c r="E22" s="22">
        <f t="shared" ref="E22:E33" si="1">B22*D22</f>
        <v>58497</v>
      </c>
      <c r="F22" s="91"/>
    </row>
    <row r="23" spans="1:6" s="126" customFormat="1">
      <c r="A23" s="118" t="s">
        <v>195</v>
      </c>
      <c r="B23" s="10">
        <v>13850</v>
      </c>
      <c r="C23" s="18" t="s">
        <v>4</v>
      </c>
      <c r="D23" s="122">
        <v>3.25</v>
      </c>
      <c r="E23" s="22">
        <f t="shared" si="1"/>
        <v>45012.5</v>
      </c>
      <c r="F23" s="91"/>
    </row>
    <row r="24" spans="1:6" s="126" customFormat="1">
      <c r="A24" s="118" t="s">
        <v>196</v>
      </c>
      <c r="B24" s="10">
        <v>11581</v>
      </c>
      <c r="C24" s="18" t="s">
        <v>4</v>
      </c>
      <c r="D24" s="88">
        <v>1.75</v>
      </c>
      <c r="E24" s="22">
        <f t="shared" si="1"/>
        <v>20266.75</v>
      </c>
      <c r="F24" s="91"/>
    </row>
    <row r="25" spans="1:6" s="126" customFormat="1">
      <c r="A25" s="118" t="s">
        <v>204</v>
      </c>
      <c r="B25" s="10">
        <v>630</v>
      </c>
      <c r="C25" s="18" t="s">
        <v>67</v>
      </c>
      <c r="D25" s="88">
        <v>15</v>
      </c>
      <c r="E25" s="22">
        <f t="shared" si="1"/>
        <v>9450</v>
      </c>
      <c r="F25" s="91"/>
    </row>
    <row r="26" spans="1:6" s="126" customFormat="1">
      <c r="A26" s="118" t="s">
        <v>197</v>
      </c>
      <c r="B26" s="10">
        <v>0</v>
      </c>
      <c r="C26" s="18" t="s">
        <v>67</v>
      </c>
      <c r="D26" s="88">
        <v>20</v>
      </c>
      <c r="E26" s="22">
        <f t="shared" si="1"/>
        <v>0</v>
      </c>
      <c r="F26" s="91"/>
    </row>
    <row r="27" spans="1:6" s="126" customFormat="1">
      <c r="A27" s="118" t="s">
        <v>198</v>
      </c>
      <c r="B27" s="10">
        <v>0</v>
      </c>
      <c r="C27" s="18" t="s">
        <v>6</v>
      </c>
      <c r="D27" s="88">
        <v>700</v>
      </c>
      <c r="E27" s="22">
        <f t="shared" si="1"/>
        <v>0</v>
      </c>
      <c r="F27" s="91"/>
    </row>
    <row r="28" spans="1:6" s="126" customFormat="1">
      <c r="A28" s="118" t="s">
        <v>80</v>
      </c>
      <c r="B28" s="10">
        <v>1</v>
      </c>
      <c r="C28" s="18" t="s">
        <v>6</v>
      </c>
      <c r="D28" s="88">
        <v>25000</v>
      </c>
      <c r="E28" s="22">
        <f t="shared" si="1"/>
        <v>25000</v>
      </c>
      <c r="F28" s="91"/>
    </row>
    <row r="29" spans="1:6" s="126" customFormat="1">
      <c r="A29" s="118" t="s">
        <v>199</v>
      </c>
      <c r="B29" s="10">
        <v>2</v>
      </c>
      <c r="C29" s="18" t="s">
        <v>6</v>
      </c>
      <c r="D29" s="88">
        <v>14000</v>
      </c>
      <c r="E29" s="22">
        <f t="shared" si="1"/>
        <v>28000</v>
      </c>
      <c r="F29" s="91"/>
    </row>
    <row r="30" spans="1:6" s="126" customFormat="1">
      <c r="A30" s="118" t="s">
        <v>200</v>
      </c>
      <c r="B30" s="10">
        <v>1163</v>
      </c>
      <c r="C30" s="18" t="s">
        <v>67</v>
      </c>
      <c r="D30" s="88">
        <v>50</v>
      </c>
      <c r="E30" s="22">
        <f t="shared" si="1"/>
        <v>58150</v>
      </c>
      <c r="F30" s="91" t="s">
        <v>201</v>
      </c>
    </row>
    <row r="31" spans="1:6" s="126" customFormat="1">
      <c r="A31" s="118" t="s">
        <v>202</v>
      </c>
      <c r="B31" s="10">
        <v>2</v>
      </c>
      <c r="C31" s="18" t="s">
        <v>6</v>
      </c>
      <c r="D31" s="88">
        <v>2500</v>
      </c>
      <c r="E31" s="22">
        <f t="shared" si="1"/>
        <v>5000</v>
      </c>
      <c r="F31" s="91" t="s">
        <v>216</v>
      </c>
    </row>
    <row r="32" spans="1:6" s="126" customFormat="1">
      <c r="A32" s="118" t="s">
        <v>85</v>
      </c>
      <c r="B32" s="10">
        <v>63728</v>
      </c>
      <c r="C32" s="18" t="s">
        <v>4</v>
      </c>
      <c r="D32" s="88">
        <v>0.4</v>
      </c>
      <c r="E32" s="22">
        <f t="shared" si="1"/>
        <v>25491.200000000001</v>
      </c>
      <c r="F32" s="22"/>
    </row>
    <row r="33" spans="1:6" s="126" customFormat="1">
      <c r="A33" s="118" t="s">
        <v>207</v>
      </c>
      <c r="B33" s="10">
        <v>7081</v>
      </c>
      <c r="C33" s="18" t="s">
        <v>69</v>
      </c>
      <c r="D33" s="88">
        <v>4.25</v>
      </c>
      <c r="E33" s="22">
        <f t="shared" si="1"/>
        <v>30094.25</v>
      </c>
      <c r="F33" s="22"/>
    </row>
    <row r="34" spans="1:6" s="126" customFormat="1">
      <c r="A34" s="118"/>
      <c r="B34" s="10"/>
      <c r="C34" s="18"/>
      <c r="D34" s="88"/>
      <c r="E34" s="22">
        <f>SUM(E22:E33)</f>
        <v>304961.7</v>
      </c>
      <c r="F34" s="22"/>
    </row>
    <row r="35" spans="1:6" s="126" customFormat="1">
      <c r="A35" s="118" t="s">
        <v>203</v>
      </c>
      <c r="B35" s="10"/>
      <c r="C35" s="18"/>
      <c r="D35" s="88"/>
      <c r="E35" s="22">
        <f>E34*0.1</f>
        <v>30496.170000000002</v>
      </c>
      <c r="F35" s="22"/>
    </row>
    <row r="36" spans="1:6" s="126" customFormat="1">
      <c r="A36" s="118"/>
      <c r="B36" s="10"/>
      <c r="C36" s="18"/>
      <c r="D36" s="88"/>
      <c r="E36" s="22"/>
      <c r="F36" s="22"/>
    </row>
    <row r="37" spans="1:6" s="126" customFormat="1">
      <c r="A37" s="118"/>
      <c r="B37" s="10"/>
      <c r="C37" s="18"/>
      <c r="D37" s="89" t="s">
        <v>205</v>
      </c>
      <c r="E37" s="89">
        <f>SUM(E34:E35)</f>
        <v>335457.87</v>
      </c>
      <c r="F37" s="89"/>
    </row>
    <row r="38" spans="1:6" s="126" customFormat="1">
      <c r="A38" s="119"/>
      <c r="B38" s="102"/>
      <c r="C38" s="101"/>
      <c r="D38" s="125"/>
      <c r="E38" s="103"/>
      <c r="F38" s="103"/>
    </row>
    <row r="39" spans="1:6" s="8" customFormat="1">
      <c r="A39" s="13" t="s">
        <v>208</v>
      </c>
      <c r="B39" s="31"/>
      <c r="C39" s="30"/>
      <c r="D39" s="32"/>
      <c r="E39" s="32"/>
      <c r="F39" s="32"/>
    </row>
    <row r="40" spans="1:6" s="123" customFormat="1">
      <c r="A40" s="113" t="s">
        <v>84</v>
      </c>
      <c r="B40" s="115">
        <v>909</v>
      </c>
      <c r="C40" s="114" t="s">
        <v>90</v>
      </c>
      <c r="D40" s="122">
        <v>37</v>
      </c>
      <c r="E40" s="66">
        <f t="shared" ref="E40:E51" si="2">B40*D40</f>
        <v>33633</v>
      </c>
      <c r="F40" s="116" t="s">
        <v>209</v>
      </c>
    </row>
    <row r="41" spans="1:6" s="123" customFormat="1">
      <c r="A41" s="113" t="s">
        <v>195</v>
      </c>
      <c r="B41" s="115">
        <v>6501</v>
      </c>
      <c r="C41" s="114" t="s">
        <v>4</v>
      </c>
      <c r="D41" s="122">
        <v>3.25</v>
      </c>
      <c r="E41" s="66">
        <f t="shared" si="2"/>
        <v>21128.25</v>
      </c>
      <c r="F41" s="116"/>
    </row>
    <row r="42" spans="1:6" s="123" customFormat="1">
      <c r="A42" s="113" t="s">
        <v>196</v>
      </c>
      <c r="B42" s="115">
        <v>8413</v>
      </c>
      <c r="C42" s="114" t="s">
        <v>4</v>
      </c>
      <c r="D42" s="122">
        <v>1.75</v>
      </c>
      <c r="E42" s="66">
        <f t="shared" si="2"/>
        <v>14722.75</v>
      </c>
      <c r="F42" s="116" t="s">
        <v>211</v>
      </c>
    </row>
    <row r="43" spans="1:6" s="1" customFormat="1">
      <c r="A43" s="118" t="s">
        <v>204</v>
      </c>
      <c r="B43" s="10">
        <v>580</v>
      </c>
      <c r="C43" s="18" t="s">
        <v>67</v>
      </c>
      <c r="D43" s="88">
        <v>15</v>
      </c>
      <c r="E43" s="22">
        <f t="shared" si="2"/>
        <v>8700</v>
      </c>
      <c r="F43" s="91"/>
    </row>
    <row r="44" spans="1:6" s="1" customFormat="1">
      <c r="A44" s="118" t="s">
        <v>197</v>
      </c>
      <c r="B44" s="10">
        <v>0</v>
      </c>
      <c r="C44" s="18" t="s">
        <v>67</v>
      </c>
      <c r="D44" s="88">
        <v>20</v>
      </c>
      <c r="E44" s="22">
        <f t="shared" si="2"/>
        <v>0</v>
      </c>
      <c r="F44" s="91"/>
    </row>
    <row r="45" spans="1:6" s="1" customFormat="1">
      <c r="A45" s="118" t="s">
        <v>198</v>
      </c>
      <c r="B45" s="10">
        <v>0</v>
      </c>
      <c r="C45" s="18" t="s">
        <v>6</v>
      </c>
      <c r="D45" s="88">
        <v>700</v>
      </c>
      <c r="E45" s="22">
        <f t="shared" si="2"/>
        <v>0</v>
      </c>
      <c r="F45" s="91"/>
    </row>
    <row r="46" spans="1:6" s="123" customFormat="1">
      <c r="A46" s="113" t="s">
        <v>80</v>
      </c>
      <c r="B46" s="115">
        <v>1</v>
      </c>
      <c r="C46" s="114" t="s">
        <v>6</v>
      </c>
      <c r="D46" s="122">
        <v>25000</v>
      </c>
      <c r="E46" s="66">
        <f t="shared" si="2"/>
        <v>25000</v>
      </c>
      <c r="F46" s="116"/>
    </row>
    <row r="47" spans="1:6" s="123" customFormat="1">
      <c r="A47" s="113" t="s">
        <v>199</v>
      </c>
      <c r="B47" s="115">
        <v>2</v>
      </c>
      <c r="C47" s="114" t="s">
        <v>6</v>
      </c>
      <c r="D47" s="122">
        <v>14000</v>
      </c>
      <c r="E47" s="66">
        <f t="shared" si="2"/>
        <v>28000</v>
      </c>
      <c r="F47" s="116"/>
    </row>
    <row r="48" spans="1:6" s="123" customFormat="1">
      <c r="A48" s="113" t="s">
        <v>200</v>
      </c>
      <c r="B48" s="115">
        <v>467</v>
      </c>
      <c r="C48" s="114" t="s">
        <v>67</v>
      </c>
      <c r="D48" s="122">
        <v>50</v>
      </c>
      <c r="E48" s="66">
        <f t="shared" si="2"/>
        <v>23350</v>
      </c>
      <c r="F48" s="116" t="s">
        <v>206</v>
      </c>
    </row>
    <row r="49" spans="1:6" s="123" customFormat="1">
      <c r="A49" s="118" t="s">
        <v>202</v>
      </c>
      <c r="B49" s="10">
        <v>2</v>
      </c>
      <c r="C49" s="18" t="s">
        <v>6</v>
      </c>
      <c r="D49" s="88">
        <v>2300</v>
      </c>
      <c r="E49" s="22">
        <f t="shared" si="2"/>
        <v>4600</v>
      </c>
      <c r="F49" s="91" t="s">
        <v>216</v>
      </c>
    </row>
    <row r="50" spans="1:6" s="123" customFormat="1">
      <c r="A50" s="113" t="s">
        <v>85</v>
      </c>
      <c r="B50" s="115">
        <v>36613</v>
      </c>
      <c r="C50" s="114" t="s">
        <v>4</v>
      </c>
      <c r="D50" s="122">
        <v>0.45</v>
      </c>
      <c r="E50" s="66">
        <f t="shared" si="2"/>
        <v>16475.850000000002</v>
      </c>
      <c r="F50" s="116"/>
    </row>
    <row r="51" spans="1:6" s="123" customFormat="1">
      <c r="A51" s="113" t="s">
        <v>207</v>
      </c>
      <c r="B51" s="115">
        <v>4068</v>
      </c>
      <c r="C51" s="114" t="s">
        <v>69</v>
      </c>
      <c r="D51" s="122">
        <v>4.25</v>
      </c>
      <c r="E51" s="66">
        <f t="shared" si="2"/>
        <v>17289</v>
      </c>
      <c r="F51" s="116"/>
    </row>
    <row r="52" spans="1:6" s="1" customFormat="1">
      <c r="A52" s="118"/>
      <c r="B52" s="10"/>
      <c r="C52" s="18"/>
      <c r="D52" s="88"/>
      <c r="E52" s="22">
        <f>SUM(E40:E51)</f>
        <v>192898.85</v>
      </c>
      <c r="F52" s="22"/>
    </row>
    <row r="53" spans="1:6" s="1" customFormat="1">
      <c r="A53" s="118" t="s">
        <v>203</v>
      </c>
      <c r="B53" s="10"/>
      <c r="C53" s="18"/>
      <c r="D53" s="88"/>
      <c r="E53" s="22">
        <f>E52*0.1</f>
        <v>19289.885000000002</v>
      </c>
      <c r="F53" s="22"/>
    </row>
    <row r="54" spans="1:6" s="1" customFormat="1">
      <c r="A54" s="118"/>
      <c r="B54" s="10"/>
      <c r="C54" s="18"/>
      <c r="D54" s="88"/>
      <c r="E54" s="22"/>
      <c r="F54" s="22"/>
    </row>
    <row r="55" spans="1:6" s="1" customFormat="1">
      <c r="A55" s="118"/>
      <c r="B55" s="10"/>
      <c r="C55" s="18"/>
      <c r="D55" s="89" t="s">
        <v>205</v>
      </c>
      <c r="E55" s="89">
        <f>E52+E53</f>
        <v>212188.73500000002</v>
      </c>
      <c r="F55" s="89"/>
    </row>
    <row r="57" spans="1:6">
      <c r="A57" s="13" t="s">
        <v>214</v>
      </c>
      <c r="B57" s="31"/>
      <c r="C57" s="30"/>
      <c r="D57" s="32"/>
      <c r="E57" s="32"/>
      <c r="F57" s="32"/>
    </row>
    <row r="58" spans="1:6" s="124" customFormat="1">
      <c r="A58" s="113" t="s">
        <v>84</v>
      </c>
      <c r="B58" s="115">
        <v>985</v>
      </c>
      <c r="C58" s="114" t="s">
        <v>90</v>
      </c>
      <c r="D58" s="122">
        <v>37</v>
      </c>
      <c r="E58" s="66">
        <f t="shared" ref="E58:E70" si="3">B58*D58</f>
        <v>36445</v>
      </c>
      <c r="F58" s="116" t="s">
        <v>209</v>
      </c>
    </row>
    <row r="59" spans="1:6" s="124" customFormat="1">
      <c r="A59" s="113" t="s">
        <v>195</v>
      </c>
      <c r="B59" s="115">
        <v>3424</v>
      </c>
      <c r="C59" s="114" t="s">
        <v>4</v>
      </c>
      <c r="D59" s="122">
        <v>3.25</v>
      </c>
      <c r="E59" s="66">
        <f t="shared" si="3"/>
        <v>11128</v>
      </c>
      <c r="F59" s="116"/>
    </row>
    <row r="60" spans="1:6" s="124" customFormat="1">
      <c r="A60" s="113" t="s">
        <v>210</v>
      </c>
      <c r="B60" s="115">
        <v>80</v>
      </c>
      <c r="C60" s="114" t="s">
        <v>4</v>
      </c>
      <c r="D60" s="122">
        <v>3.5</v>
      </c>
      <c r="E60" s="66">
        <f t="shared" si="3"/>
        <v>280</v>
      </c>
      <c r="F60" s="116"/>
    </row>
    <row r="61" spans="1:6" s="124" customFormat="1">
      <c r="A61" s="113" t="s">
        <v>196</v>
      </c>
      <c r="B61" s="115">
        <v>8413</v>
      </c>
      <c r="C61" s="114" t="s">
        <v>4</v>
      </c>
      <c r="D61" s="122">
        <v>1.75</v>
      </c>
      <c r="E61" s="66">
        <f t="shared" si="3"/>
        <v>14722.75</v>
      </c>
      <c r="F61" s="116" t="s">
        <v>211</v>
      </c>
    </row>
    <row r="62" spans="1:6" s="124" customFormat="1">
      <c r="A62" s="113" t="s">
        <v>204</v>
      </c>
      <c r="B62" s="115">
        <v>580</v>
      </c>
      <c r="C62" s="114" t="s">
        <v>67</v>
      </c>
      <c r="D62" s="122">
        <v>15</v>
      </c>
      <c r="E62" s="66">
        <f t="shared" si="3"/>
        <v>8700</v>
      </c>
      <c r="F62" s="116"/>
    </row>
    <row r="63" spans="1:6" s="124" customFormat="1">
      <c r="A63" s="113" t="s">
        <v>197</v>
      </c>
      <c r="B63" s="115">
        <v>0</v>
      </c>
      <c r="C63" s="114" t="s">
        <v>67</v>
      </c>
      <c r="D63" s="122">
        <v>20</v>
      </c>
      <c r="E63" s="66">
        <f t="shared" si="3"/>
        <v>0</v>
      </c>
      <c r="F63" s="116"/>
    </row>
    <row r="64" spans="1:6" s="124" customFormat="1">
      <c r="A64" s="113" t="s">
        <v>198</v>
      </c>
      <c r="B64" s="115">
        <v>0</v>
      </c>
      <c r="C64" s="114" t="s">
        <v>6</v>
      </c>
      <c r="D64" s="122">
        <v>700</v>
      </c>
      <c r="E64" s="66">
        <f t="shared" si="3"/>
        <v>0</v>
      </c>
      <c r="F64" s="116"/>
    </row>
    <row r="65" spans="1:6" s="124" customFormat="1">
      <c r="A65" s="113" t="s">
        <v>80</v>
      </c>
      <c r="B65" s="115">
        <v>1</v>
      </c>
      <c r="C65" s="114" t="s">
        <v>6</v>
      </c>
      <c r="D65" s="122">
        <v>25000</v>
      </c>
      <c r="E65" s="66">
        <f t="shared" si="3"/>
        <v>25000</v>
      </c>
      <c r="F65" s="116"/>
    </row>
    <row r="66" spans="1:6" s="124" customFormat="1">
      <c r="A66" s="113" t="s">
        <v>199</v>
      </c>
      <c r="B66" s="115">
        <v>2</v>
      </c>
      <c r="C66" s="114" t="s">
        <v>6</v>
      </c>
      <c r="D66" s="122">
        <v>14000</v>
      </c>
      <c r="E66" s="66">
        <f t="shared" si="3"/>
        <v>28000</v>
      </c>
      <c r="F66" s="116"/>
    </row>
    <row r="67" spans="1:6" s="124" customFormat="1">
      <c r="A67" s="113" t="s">
        <v>200</v>
      </c>
      <c r="B67" s="115">
        <v>467</v>
      </c>
      <c r="C67" s="114" t="s">
        <v>67</v>
      </c>
      <c r="D67" s="122">
        <v>50</v>
      </c>
      <c r="E67" s="66">
        <f t="shared" si="3"/>
        <v>23350</v>
      </c>
      <c r="F67" s="116" t="s">
        <v>206</v>
      </c>
    </row>
    <row r="68" spans="1:6" s="124" customFormat="1">
      <c r="A68" s="118" t="s">
        <v>202</v>
      </c>
      <c r="B68" s="10">
        <v>2</v>
      </c>
      <c r="C68" s="18" t="s">
        <v>6</v>
      </c>
      <c r="D68" s="88">
        <v>2300</v>
      </c>
      <c r="E68" s="22">
        <f t="shared" si="3"/>
        <v>4600</v>
      </c>
      <c r="F68" s="91" t="s">
        <v>216</v>
      </c>
    </row>
    <row r="69" spans="1:6" s="124" customFormat="1">
      <c r="A69" s="113" t="s">
        <v>85</v>
      </c>
      <c r="B69" s="115">
        <v>39530</v>
      </c>
      <c r="C69" s="114" t="s">
        <v>4</v>
      </c>
      <c r="D69" s="122">
        <v>0.45</v>
      </c>
      <c r="E69" s="66">
        <f t="shared" si="3"/>
        <v>17788.5</v>
      </c>
      <c r="F69" s="116"/>
    </row>
    <row r="70" spans="1:6" s="124" customFormat="1">
      <c r="A70" s="113" t="s">
        <v>207</v>
      </c>
      <c r="B70" s="115">
        <v>4392</v>
      </c>
      <c r="C70" s="114" t="s">
        <v>69</v>
      </c>
      <c r="D70" s="122">
        <v>4.25</v>
      </c>
      <c r="E70" s="66">
        <f t="shared" si="3"/>
        <v>18666</v>
      </c>
      <c r="F70" s="116"/>
    </row>
    <row r="71" spans="1:6">
      <c r="A71" s="118"/>
      <c r="B71" s="10"/>
      <c r="C71" s="18"/>
      <c r="D71" s="88"/>
      <c r="E71" s="22">
        <f>SUM(E58:E70)</f>
        <v>188680.25</v>
      </c>
      <c r="F71" s="22"/>
    </row>
    <row r="72" spans="1:6">
      <c r="A72" s="118" t="s">
        <v>203</v>
      </c>
      <c r="B72" s="10"/>
      <c r="C72" s="18"/>
      <c r="D72" s="88"/>
      <c r="E72" s="22">
        <f>E71*0.1</f>
        <v>18868.025000000001</v>
      </c>
      <c r="F72" s="22"/>
    </row>
    <row r="73" spans="1:6">
      <c r="A73" s="118"/>
      <c r="B73" s="10"/>
      <c r="C73" s="18"/>
      <c r="D73" s="88"/>
      <c r="E73" s="22"/>
      <c r="F73" s="22"/>
    </row>
    <row r="74" spans="1:6">
      <c r="A74" s="118"/>
      <c r="B74" s="10"/>
      <c r="C74" s="18"/>
      <c r="D74" s="89" t="s">
        <v>205</v>
      </c>
      <c r="E74" s="89">
        <f>E71+E72</f>
        <v>207548.27499999999</v>
      </c>
      <c r="F74" s="89"/>
    </row>
    <row r="76" spans="1:6">
      <c r="A76" s="13" t="s">
        <v>215</v>
      </c>
      <c r="B76" s="31"/>
      <c r="C76" s="30"/>
      <c r="D76" s="32"/>
      <c r="E76" s="32"/>
      <c r="F76" s="32"/>
    </row>
    <row r="77" spans="1:6">
      <c r="A77" s="113" t="s">
        <v>84</v>
      </c>
      <c r="B77" s="115">
        <v>2323</v>
      </c>
      <c r="C77" s="114" t="s">
        <v>90</v>
      </c>
      <c r="D77" s="122">
        <v>37</v>
      </c>
      <c r="E77" s="66">
        <f t="shared" ref="E77:E82" si="4">B77*D77</f>
        <v>85951</v>
      </c>
      <c r="F77" s="116" t="s">
        <v>209</v>
      </c>
    </row>
    <row r="78" spans="1:6">
      <c r="A78" s="113" t="s">
        <v>204</v>
      </c>
      <c r="B78" s="115">
        <v>0</v>
      </c>
      <c r="C78" s="114" t="s">
        <v>67</v>
      </c>
      <c r="D78" s="122">
        <v>15</v>
      </c>
      <c r="E78" s="66">
        <f t="shared" si="4"/>
        <v>0</v>
      </c>
      <c r="F78" s="116"/>
    </row>
    <row r="79" spans="1:6">
      <c r="A79" s="113" t="s">
        <v>197</v>
      </c>
      <c r="B79" s="115">
        <v>1045</v>
      </c>
      <c r="C79" s="114" t="s">
        <v>67</v>
      </c>
      <c r="D79" s="122">
        <v>20</v>
      </c>
      <c r="E79" s="66">
        <f t="shared" si="4"/>
        <v>20900</v>
      </c>
      <c r="F79" s="116"/>
    </row>
    <row r="80" spans="1:6">
      <c r="A80" s="113" t="s">
        <v>198</v>
      </c>
      <c r="B80" s="115">
        <v>3</v>
      </c>
      <c r="C80" s="114" t="s">
        <v>6</v>
      </c>
      <c r="D80" s="122">
        <v>700</v>
      </c>
      <c r="E80" s="66">
        <f t="shared" si="4"/>
        <v>2100</v>
      </c>
      <c r="F80" s="116"/>
    </row>
    <row r="81" spans="1:6">
      <c r="A81" s="113" t="s">
        <v>85</v>
      </c>
      <c r="B81" s="115">
        <v>93600</v>
      </c>
      <c r="C81" s="114" t="s">
        <v>4</v>
      </c>
      <c r="D81" s="122">
        <v>0.4</v>
      </c>
      <c r="E81" s="66">
        <f t="shared" si="4"/>
        <v>37440</v>
      </c>
      <c r="F81" s="116"/>
    </row>
    <row r="82" spans="1:6">
      <c r="A82" s="113" t="s">
        <v>207</v>
      </c>
      <c r="B82" s="115">
        <v>10400</v>
      </c>
      <c r="C82" s="114" t="s">
        <v>69</v>
      </c>
      <c r="D82" s="122">
        <v>4.25</v>
      </c>
      <c r="E82" s="66">
        <f t="shared" si="4"/>
        <v>44200</v>
      </c>
      <c r="F82" s="116"/>
    </row>
    <row r="83" spans="1:6">
      <c r="A83" s="118"/>
      <c r="B83" s="10"/>
      <c r="C83" s="18"/>
      <c r="D83" s="88"/>
      <c r="E83" s="22">
        <f>SUM(E77:E82)</f>
        <v>190591</v>
      </c>
      <c r="F83" s="22"/>
    </row>
    <row r="84" spans="1:6">
      <c r="A84" s="118" t="s">
        <v>203</v>
      </c>
      <c r="B84" s="10"/>
      <c r="C84" s="18"/>
      <c r="D84" s="88"/>
      <c r="E84" s="22">
        <f>E83*0.1</f>
        <v>19059.100000000002</v>
      </c>
      <c r="F84" s="22"/>
    </row>
    <row r="85" spans="1:6">
      <c r="A85" s="118"/>
      <c r="B85" s="10"/>
      <c r="C85" s="18"/>
      <c r="D85" s="88"/>
      <c r="E85" s="22"/>
      <c r="F85" s="22"/>
    </row>
    <row r="86" spans="1:6">
      <c r="A86" s="118"/>
      <c r="B86" s="10"/>
      <c r="C86" s="18"/>
      <c r="D86" s="89" t="s">
        <v>205</v>
      </c>
      <c r="E86" s="89">
        <f>E83+E84</f>
        <v>209650.1</v>
      </c>
      <c r="F86" s="89"/>
    </row>
    <row r="88" spans="1:6">
      <c r="A88" s="13" t="s">
        <v>217</v>
      </c>
      <c r="B88" s="31"/>
      <c r="C88" s="30"/>
      <c r="D88" s="32"/>
      <c r="E88" s="32"/>
      <c r="F88" s="32"/>
    </row>
    <row r="89" spans="1:6">
      <c r="A89" s="113" t="s">
        <v>84</v>
      </c>
      <c r="B89" s="115">
        <v>3142</v>
      </c>
      <c r="C89" s="114" t="s">
        <v>90</v>
      </c>
      <c r="D89" s="122">
        <v>27</v>
      </c>
      <c r="E89" s="66">
        <f t="shared" ref="E89:E94" si="5">B89*D89</f>
        <v>84834</v>
      </c>
      <c r="F89" s="116" t="s">
        <v>218</v>
      </c>
    </row>
    <row r="90" spans="1:6">
      <c r="A90" s="113" t="s">
        <v>204</v>
      </c>
      <c r="B90" s="115">
        <v>0</v>
      </c>
      <c r="C90" s="114" t="s">
        <v>67</v>
      </c>
      <c r="D90" s="122">
        <v>15</v>
      </c>
      <c r="E90" s="66">
        <f t="shared" si="5"/>
        <v>0</v>
      </c>
      <c r="F90" s="116"/>
    </row>
    <row r="91" spans="1:6">
      <c r="A91" s="113" t="s">
        <v>197</v>
      </c>
      <c r="B91" s="115">
        <v>1112</v>
      </c>
      <c r="C91" s="114" t="s">
        <v>67</v>
      </c>
      <c r="D91" s="122">
        <v>20</v>
      </c>
      <c r="E91" s="66">
        <f t="shared" si="5"/>
        <v>22240</v>
      </c>
      <c r="F91" s="116"/>
    </row>
    <row r="92" spans="1:6">
      <c r="A92" s="113" t="s">
        <v>198</v>
      </c>
      <c r="B92" s="115">
        <v>3</v>
      </c>
      <c r="C92" s="114" t="s">
        <v>6</v>
      </c>
      <c r="D92" s="122">
        <v>700</v>
      </c>
      <c r="E92" s="66">
        <f t="shared" si="5"/>
        <v>2100</v>
      </c>
      <c r="F92" s="116"/>
    </row>
    <row r="93" spans="1:6">
      <c r="A93" s="113" t="s">
        <v>85</v>
      </c>
      <c r="B93" s="115">
        <v>126631</v>
      </c>
      <c r="C93" s="114" t="s">
        <v>4</v>
      </c>
      <c r="D93" s="122">
        <v>0.4</v>
      </c>
      <c r="E93" s="66">
        <f t="shared" si="5"/>
        <v>50652.4</v>
      </c>
      <c r="F93" s="116"/>
    </row>
    <row r="94" spans="1:6">
      <c r="A94" s="113" t="s">
        <v>207</v>
      </c>
      <c r="B94" s="115">
        <v>14070</v>
      </c>
      <c r="C94" s="114" t="s">
        <v>69</v>
      </c>
      <c r="D94" s="122">
        <v>4.25</v>
      </c>
      <c r="E94" s="66">
        <f t="shared" si="5"/>
        <v>59797.5</v>
      </c>
      <c r="F94" s="127"/>
    </row>
    <row r="95" spans="1:6">
      <c r="A95" s="118"/>
      <c r="B95" s="10"/>
      <c r="C95" s="18"/>
      <c r="D95" s="88"/>
      <c r="E95" s="22">
        <f>SUM(E89:E94)</f>
        <v>219623.9</v>
      </c>
      <c r="F95" s="22"/>
    </row>
    <row r="96" spans="1:6">
      <c r="A96" s="118" t="s">
        <v>203</v>
      </c>
      <c r="B96" s="10"/>
      <c r="C96" s="18"/>
      <c r="D96" s="88"/>
      <c r="E96" s="22">
        <f>E95*0.1</f>
        <v>21962.39</v>
      </c>
      <c r="F96" s="22"/>
    </row>
    <row r="97" spans="1:6">
      <c r="A97" s="118"/>
      <c r="B97" s="10"/>
      <c r="C97" s="18"/>
      <c r="D97" s="88"/>
      <c r="E97" s="22"/>
      <c r="F97" s="22"/>
    </row>
    <row r="98" spans="1:6">
      <c r="A98" s="118"/>
      <c r="B98" s="10"/>
      <c r="C98" s="18"/>
      <c r="D98" s="89" t="s">
        <v>205</v>
      </c>
      <c r="E98" s="89">
        <f>E95+E96</f>
        <v>241586.28999999998</v>
      </c>
      <c r="F98" s="89"/>
    </row>
  </sheetData>
  <pageMargins left="0.7" right="0.7" top="0.75" bottom="0.75" header="0.3" footer="0.3"/>
  <pageSetup scale="47" orientation="portrait" r:id="rId1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opLeftCell="A19" workbookViewId="0">
      <selection activeCell="C50" sqref="C50"/>
    </sheetView>
  </sheetViews>
  <sheetFormatPr defaultRowHeight="15"/>
  <cols>
    <col min="1" max="1" width="15" customWidth="1"/>
    <col min="2" max="3" width="12.7109375" customWidth="1"/>
    <col min="4" max="4" width="12.5703125" bestFit="1" customWidth="1"/>
    <col min="5" max="5" width="20.140625" customWidth="1"/>
    <col min="6" max="6" width="13.7109375" bestFit="1" customWidth="1"/>
  </cols>
  <sheetData>
    <row r="1" spans="1:7">
      <c r="A1" s="111" t="s">
        <v>118</v>
      </c>
    </row>
    <row r="3" spans="1:7">
      <c r="A3" s="112" t="s">
        <v>119</v>
      </c>
    </row>
    <row r="4" spans="1:7" ht="30">
      <c r="B4" t="s">
        <v>100</v>
      </c>
      <c r="C4" s="106" t="s">
        <v>103</v>
      </c>
    </row>
    <row r="5" spans="1:7">
      <c r="A5" t="s">
        <v>101</v>
      </c>
      <c r="B5">
        <v>80976</v>
      </c>
      <c r="C5">
        <v>4</v>
      </c>
      <c r="D5" s="109">
        <f>B5*C5</f>
        <v>323904</v>
      </c>
    </row>
    <row r="6" spans="1:7">
      <c r="A6" t="s">
        <v>102</v>
      </c>
      <c r="B6">
        <v>36741</v>
      </c>
      <c r="C6">
        <v>7</v>
      </c>
      <c r="D6" s="109">
        <f t="shared" ref="D6:D7" si="0">B6*C6</f>
        <v>257187</v>
      </c>
    </row>
    <row r="7" spans="1:7">
      <c r="A7" t="s">
        <v>104</v>
      </c>
      <c r="B7">
        <v>99450</v>
      </c>
      <c r="C7">
        <v>4</v>
      </c>
      <c r="D7" s="109">
        <f t="shared" si="0"/>
        <v>397800</v>
      </c>
    </row>
    <row r="8" spans="1:7">
      <c r="C8" s="108" t="s">
        <v>105</v>
      </c>
      <c r="D8" s="109">
        <f>SUM(D5:D7)</f>
        <v>978891</v>
      </c>
      <c r="E8" s="110" t="s">
        <v>4</v>
      </c>
    </row>
    <row r="9" spans="1:7">
      <c r="D9" s="110">
        <f>D8/43560</f>
        <v>22.472245179063361</v>
      </c>
      <c r="E9" t="s">
        <v>116</v>
      </c>
    </row>
    <row r="10" spans="1:7">
      <c r="C10" s="107" t="s">
        <v>117</v>
      </c>
      <c r="D10">
        <f>D9*(27154*1.5)</f>
        <v>915317.01838842977</v>
      </c>
    </row>
    <row r="13" spans="1:7">
      <c r="E13" s="110">
        <f>D10</f>
        <v>915317.01838842977</v>
      </c>
      <c r="F13" t="s">
        <v>106</v>
      </c>
    </row>
    <row r="14" spans="1:7">
      <c r="E14" s="110">
        <f>E13/7</f>
        <v>130759.57405548997</v>
      </c>
      <c r="F14" t="s">
        <v>107</v>
      </c>
    </row>
    <row r="15" spans="1:7">
      <c r="E15" s="110">
        <f>E14/8</f>
        <v>16344.946756936246</v>
      </c>
      <c r="F15" t="s">
        <v>108</v>
      </c>
      <c r="G15" t="s">
        <v>111</v>
      </c>
    </row>
    <row r="16" spans="1:7">
      <c r="E16" s="110">
        <f>E15/60</f>
        <v>272.41577928227076</v>
      </c>
      <c r="F16" t="s">
        <v>109</v>
      </c>
      <c r="G16" t="s">
        <v>111</v>
      </c>
    </row>
    <row r="18" spans="1:10">
      <c r="E18" s="110">
        <f>E14/16</f>
        <v>8172.473378468123</v>
      </c>
      <c r="F18" t="s">
        <v>108</v>
      </c>
      <c r="G18" t="s">
        <v>110</v>
      </c>
    </row>
    <row r="19" spans="1:10">
      <c r="E19" s="110">
        <f>E18/60</f>
        <v>136.20788964113538</v>
      </c>
      <c r="F19" t="s">
        <v>109</v>
      </c>
      <c r="G19" t="s">
        <v>110</v>
      </c>
    </row>
    <row r="20" spans="1:10">
      <c r="E20" s="110"/>
    </row>
    <row r="21" spans="1:10">
      <c r="E21" s="110">
        <f>E14/24</f>
        <v>5448.315585645415</v>
      </c>
      <c r="F21" t="s">
        <v>108</v>
      </c>
      <c r="G21" t="s">
        <v>114</v>
      </c>
    </row>
    <row r="22" spans="1:10">
      <c r="E22" s="110">
        <f>E21/60</f>
        <v>90.805259760756911</v>
      </c>
      <c r="F22" t="s">
        <v>109</v>
      </c>
      <c r="G22" t="s">
        <v>114</v>
      </c>
    </row>
    <row r="24" spans="1:10">
      <c r="E24" s="109">
        <v>17485</v>
      </c>
      <c r="F24" t="s">
        <v>112</v>
      </c>
      <c r="G24" t="s">
        <v>113</v>
      </c>
    </row>
    <row r="25" spans="1:10">
      <c r="E25" s="109">
        <v>122360</v>
      </c>
      <c r="F25" t="s">
        <v>112</v>
      </c>
      <c r="G25" t="s">
        <v>115</v>
      </c>
    </row>
    <row r="26" spans="1:10">
      <c r="J26" t="s">
        <v>94</v>
      </c>
    </row>
    <row r="28" spans="1:10">
      <c r="A28" s="112" t="s">
        <v>120</v>
      </c>
    </row>
    <row r="29" spans="1:10" ht="30">
      <c r="B29" t="s">
        <v>100</v>
      </c>
      <c r="C29" s="106" t="s">
        <v>103</v>
      </c>
    </row>
    <row r="30" spans="1:10">
      <c r="A30" t="s">
        <v>101</v>
      </c>
      <c r="B30">
        <v>80976</v>
      </c>
      <c r="C30">
        <v>2</v>
      </c>
      <c r="D30" s="109">
        <f>B30*C30</f>
        <v>161952</v>
      </c>
    </row>
    <row r="31" spans="1:10">
      <c r="A31" t="s">
        <v>102</v>
      </c>
      <c r="B31">
        <v>36741</v>
      </c>
      <c r="C31">
        <v>3</v>
      </c>
      <c r="D31" s="109">
        <f t="shared" ref="D31:D32" si="1">B31*C31</f>
        <v>110223</v>
      </c>
    </row>
    <row r="32" spans="1:10">
      <c r="A32" t="s">
        <v>104</v>
      </c>
      <c r="B32">
        <v>99450</v>
      </c>
      <c r="C32">
        <v>0</v>
      </c>
      <c r="D32" s="109">
        <f t="shared" si="1"/>
        <v>0</v>
      </c>
    </row>
    <row r="33" spans="3:7">
      <c r="C33" s="108" t="s">
        <v>105</v>
      </c>
      <c r="D33" s="109">
        <f>SUM(D30:D32)</f>
        <v>272175</v>
      </c>
      <c r="E33" s="110" t="s">
        <v>4</v>
      </c>
    </row>
    <row r="34" spans="3:7">
      <c r="D34" s="110">
        <f>D33/43560</f>
        <v>6.2482782369146008</v>
      </c>
      <c r="E34" t="s">
        <v>116</v>
      </c>
    </row>
    <row r="35" spans="3:7">
      <c r="C35" s="107" t="s">
        <v>117</v>
      </c>
      <c r="D35">
        <f>D34*(27154*1.5)</f>
        <v>254498.62086776859</v>
      </c>
    </row>
    <row r="38" spans="3:7">
      <c r="E38" s="110">
        <f>D35</f>
        <v>254498.62086776859</v>
      </c>
      <c r="F38" t="s">
        <v>106</v>
      </c>
    </row>
    <row r="39" spans="3:7">
      <c r="E39" s="110">
        <f>E38/7</f>
        <v>36356.945838252657</v>
      </c>
      <c r="F39" t="s">
        <v>107</v>
      </c>
    </row>
    <row r="40" spans="3:7">
      <c r="E40" s="110">
        <f>E39/8</f>
        <v>4544.6182297815822</v>
      </c>
      <c r="F40" t="s">
        <v>108</v>
      </c>
      <c r="G40" t="s">
        <v>111</v>
      </c>
    </row>
    <row r="41" spans="3:7">
      <c r="E41" s="110">
        <f>E40/60</f>
        <v>75.743637163026364</v>
      </c>
      <c r="F41" t="s">
        <v>109</v>
      </c>
      <c r="G41" t="s">
        <v>111</v>
      </c>
    </row>
    <row r="43" spans="3:7">
      <c r="E43" s="110">
        <f>E39/16</f>
        <v>2272.3091148907911</v>
      </c>
      <c r="F43" t="s">
        <v>108</v>
      </c>
      <c r="G43" t="s">
        <v>110</v>
      </c>
    </row>
    <row r="44" spans="3:7">
      <c r="E44" s="110">
        <f>E43/60</f>
        <v>37.871818581513182</v>
      </c>
      <c r="F44" t="s">
        <v>109</v>
      </c>
      <c r="G44" t="s">
        <v>110</v>
      </c>
    </row>
    <row r="45" spans="3:7">
      <c r="E45" s="110"/>
    </row>
    <row r="46" spans="3:7">
      <c r="E46" s="110">
        <f>E39/24</f>
        <v>1514.8727432605274</v>
      </c>
      <c r="F46" t="s">
        <v>108</v>
      </c>
      <c r="G46" t="s">
        <v>114</v>
      </c>
    </row>
    <row r="47" spans="3:7">
      <c r="E47" s="110">
        <f>E46/60</f>
        <v>25.247879054342125</v>
      </c>
      <c r="F47" t="s">
        <v>109</v>
      </c>
      <c r="G47" t="s">
        <v>114</v>
      </c>
    </row>
  </sheetData>
  <pageMargins left="0.7" right="0.7" top="0.75" bottom="0.75" header="0.3" footer="0.3"/>
  <ignoredErrors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opLeftCell="A43" zoomScaleNormal="100" workbookViewId="0">
      <selection activeCell="A22" sqref="A22"/>
    </sheetView>
  </sheetViews>
  <sheetFormatPr defaultColWidth="9.140625" defaultRowHeight="15"/>
  <cols>
    <col min="1" max="1" width="47.42578125" style="2" customWidth="1"/>
    <col min="2" max="2" width="8.42578125" style="20" customWidth="1"/>
    <col min="3" max="3" width="5.5703125" style="5" customWidth="1"/>
    <col min="4" max="4" width="11.42578125" style="6" customWidth="1"/>
    <col min="5" max="5" width="11.85546875" style="25" customWidth="1"/>
    <col min="6" max="6" width="11.28515625" style="27" customWidth="1"/>
    <col min="7" max="7" width="11.5703125" style="26" bestFit="1" customWidth="1"/>
    <col min="8" max="8" width="11.5703125" style="1" bestFit="1" customWidth="1"/>
    <col min="9" max="16384" width="9.140625" style="1"/>
  </cols>
  <sheetData>
    <row r="1" spans="1:8" s="16" customFormat="1" ht="30.75" thickBot="1">
      <c r="A1" s="72" t="s">
        <v>26</v>
      </c>
      <c r="B1" s="28" t="s">
        <v>0</v>
      </c>
      <c r="C1" s="28" t="s">
        <v>1</v>
      </c>
      <c r="D1" s="29" t="s">
        <v>25</v>
      </c>
      <c r="E1" s="51" t="s">
        <v>28</v>
      </c>
      <c r="F1" s="51" t="s">
        <v>29</v>
      </c>
      <c r="G1" s="52" t="s">
        <v>30</v>
      </c>
      <c r="H1" s="15"/>
    </row>
    <row r="2" spans="1:8" s="8" customFormat="1">
      <c r="A2" s="13" t="s">
        <v>2</v>
      </c>
      <c r="B2" s="30"/>
      <c r="C2" s="31"/>
      <c r="D2" s="32"/>
      <c r="E2" s="32"/>
      <c r="F2" s="32"/>
      <c r="G2" s="33"/>
      <c r="H2" s="7"/>
    </row>
    <row r="3" spans="1:8">
      <c r="A3" s="73" t="s">
        <v>35</v>
      </c>
      <c r="B3" s="18">
        <v>2</v>
      </c>
      <c r="C3" s="10" t="s">
        <v>6</v>
      </c>
      <c r="D3" s="22">
        <v>225000</v>
      </c>
      <c r="E3" s="22">
        <f t="shared" ref="E3:E15" si="0">ROUNDUP(B3*D3,-2)</f>
        <v>450000</v>
      </c>
      <c r="F3" s="22"/>
      <c r="G3" s="43"/>
      <c r="H3" s="2"/>
    </row>
    <row r="4" spans="1:8">
      <c r="A4" s="73" t="s">
        <v>36</v>
      </c>
      <c r="B4" s="18">
        <v>3</v>
      </c>
      <c r="C4" s="10" t="s">
        <v>6</v>
      </c>
      <c r="D4" s="66">
        <v>200000</v>
      </c>
      <c r="E4" s="22">
        <f t="shared" si="0"/>
        <v>600000</v>
      </c>
      <c r="F4" s="22"/>
      <c r="G4" s="43"/>
      <c r="H4" s="2"/>
    </row>
    <row r="5" spans="1:8">
      <c r="A5" s="73" t="s">
        <v>37</v>
      </c>
      <c r="B5" s="18">
        <v>1</v>
      </c>
      <c r="C5" s="10" t="s">
        <v>6</v>
      </c>
      <c r="D5" s="22">
        <v>665000</v>
      </c>
      <c r="E5" s="22">
        <f t="shared" si="0"/>
        <v>665000</v>
      </c>
      <c r="F5" s="22"/>
      <c r="G5" s="43"/>
      <c r="H5" s="2"/>
    </row>
    <row r="6" spans="1:8">
      <c r="A6" s="73" t="s">
        <v>48</v>
      </c>
      <c r="B6" s="18">
        <v>2</v>
      </c>
      <c r="C6" s="10" t="s">
        <v>6</v>
      </c>
      <c r="D6" s="22">
        <v>4000</v>
      </c>
      <c r="E6" s="22">
        <f t="shared" si="0"/>
        <v>8000</v>
      </c>
      <c r="F6" s="22"/>
      <c r="G6" s="43"/>
      <c r="H6" s="2"/>
    </row>
    <row r="7" spans="1:8">
      <c r="A7" s="73" t="s">
        <v>34</v>
      </c>
      <c r="B7" s="18">
        <v>10</v>
      </c>
      <c r="C7" s="10" t="s">
        <v>6</v>
      </c>
      <c r="D7" s="22">
        <v>20000</v>
      </c>
      <c r="E7" s="22">
        <f t="shared" si="0"/>
        <v>200000</v>
      </c>
      <c r="F7" s="22"/>
      <c r="G7" s="43"/>
      <c r="H7" s="2"/>
    </row>
    <row r="8" spans="1:8">
      <c r="A8" s="73" t="s">
        <v>23</v>
      </c>
      <c r="B8" s="18">
        <v>1800</v>
      </c>
      <c r="C8" s="10" t="s">
        <v>4</v>
      </c>
      <c r="D8" s="22">
        <v>150</v>
      </c>
      <c r="E8" s="22">
        <f t="shared" si="0"/>
        <v>270000</v>
      </c>
      <c r="F8" s="22"/>
      <c r="G8" s="43"/>
      <c r="H8" s="2"/>
    </row>
    <row r="9" spans="1:8">
      <c r="A9" s="73" t="s">
        <v>46</v>
      </c>
      <c r="B9" s="18">
        <v>1</v>
      </c>
      <c r="C9" s="10" t="s">
        <v>6</v>
      </c>
      <c r="D9" s="22">
        <v>1500000</v>
      </c>
      <c r="E9" s="22">
        <f t="shared" si="0"/>
        <v>1500000</v>
      </c>
      <c r="F9" s="22"/>
      <c r="G9" s="43"/>
      <c r="H9" s="2"/>
    </row>
    <row r="10" spans="1:8">
      <c r="A10" s="73" t="s">
        <v>5</v>
      </c>
      <c r="B10" s="18">
        <v>1500</v>
      </c>
      <c r="C10" s="10" t="s">
        <v>4</v>
      </c>
      <c r="D10" s="22">
        <v>40</v>
      </c>
      <c r="E10" s="22">
        <f t="shared" si="0"/>
        <v>60000</v>
      </c>
      <c r="F10" s="22"/>
      <c r="G10" s="43"/>
      <c r="H10" s="2"/>
    </row>
    <row r="11" spans="1:8">
      <c r="A11" s="73" t="s">
        <v>42</v>
      </c>
      <c r="B11" s="18">
        <v>1</v>
      </c>
      <c r="C11" s="10" t="s">
        <v>3</v>
      </c>
      <c r="D11" s="22">
        <v>275000</v>
      </c>
      <c r="E11" s="22">
        <f t="shared" si="0"/>
        <v>275000</v>
      </c>
      <c r="F11" s="22"/>
      <c r="G11" s="43"/>
      <c r="H11" s="2"/>
    </row>
    <row r="12" spans="1:8">
      <c r="A12" s="73" t="s">
        <v>15</v>
      </c>
      <c r="B12" s="18">
        <v>400</v>
      </c>
      <c r="C12" s="10" t="s">
        <v>6</v>
      </c>
      <c r="D12" s="22">
        <v>800</v>
      </c>
      <c r="E12" s="22">
        <f t="shared" si="0"/>
        <v>320000</v>
      </c>
      <c r="F12" s="22"/>
      <c r="G12" s="43"/>
      <c r="H12" s="2"/>
    </row>
    <row r="13" spans="1:8">
      <c r="A13" s="73" t="s">
        <v>7</v>
      </c>
      <c r="B13" s="18">
        <v>1</v>
      </c>
      <c r="C13" s="10" t="s">
        <v>3</v>
      </c>
      <c r="D13" s="22">
        <v>25000</v>
      </c>
      <c r="E13" s="22">
        <f t="shared" si="0"/>
        <v>25000</v>
      </c>
      <c r="F13" s="22"/>
      <c r="G13" s="43"/>
      <c r="H13" s="2"/>
    </row>
    <row r="14" spans="1:8">
      <c r="A14" s="73" t="s">
        <v>24</v>
      </c>
      <c r="B14" s="18">
        <v>1</v>
      </c>
      <c r="C14" s="10" t="s">
        <v>6</v>
      </c>
      <c r="D14" s="22">
        <v>6000</v>
      </c>
      <c r="E14" s="22">
        <f t="shared" si="0"/>
        <v>6000</v>
      </c>
      <c r="F14" s="22"/>
      <c r="G14" s="43"/>
      <c r="H14" s="2"/>
    </row>
    <row r="15" spans="1:8">
      <c r="A15" s="73" t="s">
        <v>38</v>
      </c>
      <c r="B15" s="18">
        <v>25</v>
      </c>
      <c r="C15" s="10" t="s">
        <v>17</v>
      </c>
      <c r="D15" s="22">
        <v>48000</v>
      </c>
      <c r="E15" s="22">
        <f t="shared" si="0"/>
        <v>1200000</v>
      </c>
      <c r="F15" s="22"/>
      <c r="G15" s="43"/>
      <c r="H15" s="2"/>
    </row>
    <row r="16" spans="1:8">
      <c r="A16" s="73" t="s">
        <v>45</v>
      </c>
      <c r="B16" s="18">
        <v>1</v>
      </c>
      <c r="C16" s="10" t="s">
        <v>3</v>
      </c>
      <c r="D16" s="22">
        <f>ROUND(SUM(E3:E15)*0.1,-3)</f>
        <v>558000</v>
      </c>
      <c r="E16" s="22">
        <f>ROUNDUP(B16*D16,-2)</f>
        <v>558000</v>
      </c>
      <c r="F16" s="22"/>
      <c r="G16" s="43"/>
      <c r="H16" s="86">
        <f>SUM(E3:E15)</f>
        <v>5579000</v>
      </c>
    </row>
    <row r="17" spans="1:8">
      <c r="A17" s="80" t="s">
        <v>49</v>
      </c>
      <c r="B17" s="81"/>
      <c r="C17" s="82"/>
      <c r="D17" s="83"/>
      <c r="E17" s="83">
        <v>200000</v>
      </c>
      <c r="F17" s="83"/>
      <c r="G17" s="84"/>
      <c r="H17" s="87">
        <f>H16*0.1</f>
        <v>557900</v>
      </c>
    </row>
    <row r="18" spans="1:8" s="4" customFormat="1">
      <c r="A18" s="74" t="s">
        <v>8</v>
      </c>
      <c r="B18" s="39"/>
      <c r="C18" s="40"/>
      <c r="D18" s="41"/>
      <c r="E18" s="41">
        <f>SUM(E3:E17)</f>
        <v>6337000</v>
      </c>
      <c r="F18" s="41"/>
      <c r="G18" s="45"/>
      <c r="H18" s="3"/>
    </row>
    <row r="19" spans="1:8">
      <c r="A19" s="13" t="s">
        <v>9</v>
      </c>
      <c r="B19" s="19"/>
      <c r="C19" s="14"/>
      <c r="D19" s="23"/>
      <c r="E19" s="23"/>
      <c r="F19" s="23"/>
      <c r="G19" s="24"/>
      <c r="H19" s="2"/>
    </row>
    <row r="20" spans="1:8">
      <c r="A20" s="73" t="s">
        <v>19</v>
      </c>
      <c r="B20" s="18">
        <v>1</v>
      </c>
      <c r="C20" s="10" t="s">
        <v>6</v>
      </c>
      <c r="D20" s="22">
        <v>210000</v>
      </c>
      <c r="E20" s="22"/>
      <c r="F20" s="22">
        <f t="shared" ref="F20:F32" si="1">ROUNDUP(B20*D20,-2)</f>
        <v>210000</v>
      </c>
      <c r="G20" s="43"/>
      <c r="H20" s="2"/>
    </row>
    <row r="21" spans="1:8">
      <c r="A21" s="73" t="s">
        <v>20</v>
      </c>
      <c r="B21" s="18">
        <v>1</v>
      </c>
      <c r="C21" s="10" t="s">
        <v>6</v>
      </c>
      <c r="D21" s="22">
        <v>247000</v>
      </c>
      <c r="E21" s="22"/>
      <c r="F21" s="22">
        <f t="shared" si="1"/>
        <v>247000</v>
      </c>
      <c r="G21" s="43"/>
      <c r="H21" s="2"/>
    </row>
    <row r="22" spans="1:8">
      <c r="A22" s="73" t="s">
        <v>21</v>
      </c>
      <c r="B22" s="18">
        <v>1</v>
      </c>
      <c r="C22" s="10" t="s">
        <v>6</v>
      </c>
      <c r="D22" s="22">
        <v>210000</v>
      </c>
      <c r="E22" s="22"/>
      <c r="F22" s="22">
        <f t="shared" si="1"/>
        <v>210000</v>
      </c>
      <c r="G22" s="43"/>
      <c r="H22" s="2"/>
    </row>
    <row r="23" spans="1:8">
      <c r="A23" s="73" t="s">
        <v>22</v>
      </c>
      <c r="B23" s="18">
        <v>1</v>
      </c>
      <c r="C23" s="10" t="s">
        <v>6</v>
      </c>
      <c r="D23" s="22">
        <v>247000</v>
      </c>
      <c r="E23" s="22"/>
      <c r="F23" s="22">
        <f t="shared" si="1"/>
        <v>247000</v>
      </c>
      <c r="G23" s="43"/>
      <c r="H23" s="2"/>
    </row>
    <row r="24" spans="1:8">
      <c r="A24" s="73" t="s">
        <v>48</v>
      </c>
      <c r="B24" s="18">
        <v>2</v>
      </c>
      <c r="C24" s="10" t="s">
        <v>6</v>
      </c>
      <c r="D24" s="22">
        <v>4000</v>
      </c>
      <c r="E24" s="22"/>
      <c r="F24" s="22">
        <f t="shared" si="1"/>
        <v>8000</v>
      </c>
      <c r="G24" s="43"/>
      <c r="H24" s="2"/>
    </row>
    <row r="25" spans="1:8">
      <c r="A25" s="73" t="s">
        <v>34</v>
      </c>
      <c r="B25" s="18">
        <v>4</v>
      </c>
      <c r="C25" s="10" t="s">
        <v>6</v>
      </c>
      <c r="D25" s="22">
        <v>20000</v>
      </c>
      <c r="E25" s="22"/>
      <c r="F25" s="22">
        <f t="shared" si="1"/>
        <v>80000</v>
      </c>
      <c r="G25" s="43"/>
      <c r="H25" s="2"/>
    </row>
    <row r="26" spans="1:8">
      <c r="A26" s="73" t="s">
        <v>23</v>
      </c>
      <c r="B26" s="18">
        <v>1500</v>
      </c>
      <c r="C26" s="10" t="s">
        <v>4</v>
      </c>
      <c r="D26" s="22">
        <v>150</v>
      </c>
      <c r="E26" s="22"/>
      <c r="F26" s="22">
        <f t="shared" si="1"/>
        <v>225000</v>
      </c>
      <c r="G26" s="43"/>
      <c r="H26" s="2"/>
    </row>
    <row r="27" spans="1:8">
      <c r="A27" s="73" t="s">
        <v>39</v>
      </c>
      <c r="B27" s="18">
        <v>1</v>
      </c>
      <c r="C27" s="10" t="s">
        <v>6</v>
      </c>
      <c r="D27" s="22">
        <v>230000</v>
      </c>
      <c r="E27" s="22"/>
      <c r="F27" s="22">
        <f t="shared" si="1"/>
        <v>230000</v>
      </c>
      <c r="G27" s="43"/>
      <c r="H27" s="2"/>
    </row>
    <row r="28" spans="1:8">
      <c r="A28" s="73" t="s">
        <v>44</v>
      </c>
      <c r="B28" s="18">
        <v>1</v>
      </c>
      <c r="C28" s="10" t="s">
        <v>6</v>
      </c>
      <c r="D28" s="22">
        <v>145000</v>
      </c>
      <c r="E28" s="22"/>
      <c r="F28" s="22">
        <f t="shared" si="1"/>
        <v>145000</v>
      </c>
      <c r="G28" s="43"/>
      <c r="H28" s="2"/>
    </row>
    <row r="29" spans="1:8">
      <c r="A29" s="73" t="s">
        <v>40</v>
      </c>
      <c r="B29" s="18">
        <v>1</v>
      </c>
      <c r="C29" s="10" t="s">
        <v>6</v>
      </c>
      <c r="D29" s="22">
        <v>250000</v>
      </c>
      <c r="E29" s="22"/>
      <c r="F29" s="22">
        <f t="shared" si="1"/>
        <v>250000</v>
      </c>
      <c r="G29" s="43"/>
      <c r="H29" s="2"/>
    </row>
    <row r="30" spans="1:8">
      <c r="A30" s="73" t="s">
        <v>43</v>
      </c>
      <c r="B30" s="18">
        <v>1</v>
      </c>
      <c r="C30" s="10" t="s">
        <v>6</v>
      </c>
      <c r="D30" s="22">
        <v>193000</v>
      </c>
      <c r="E30" s="22"/>
      <c r="F30" s="22">
        <f t="shared" si="1"/>
        <v>193000</v>
      </c>
      <c r="G30" s="43"/>
      <c r="H30" s="2"/>
    </row>
    <row r="31" spans="1:8">
      <c r="A31" s="73" t="s">
        <v>31</v>
      </c>
      <c r="B31" s="18">
        <v>2</v>
      </c>
      <c r="C31" s="10" t="s">
        <v>6</v>
      </c>
      <c r="D31" s="22">
        <v>40000</v>
      </c>
      <c r="E31" s="9"/>
      <c r="F31" s="22">
        <f>ROUNDUP(B31*D31,-2)</f>
        <v>80000</v>
      </c>
      <c r="G31" s="43"/>
      <c r="H31" s="2"/>
    </row>
    <row r="32" spans="1:8">
      <c r="A32" s="73" t="s">
        <v>15</v>
      </c>
      <c r="B32" s="18">
        <v>400</v>
      </c>
      <c r="C32" s="10" t="s">
        <v>6</v>
      </c>
      <c r="D32" s="22">
        <v>800</v>
      </c>
      <c r="E32" s="22"/>
      <c r="F32" s="22">
        <f t="shared" si="1"/>
        <v>320000</v>
      </c>
      <c r="G32" s="43"/>
      <c r="H32" s="2"/>
    </row>
    <row r="33" spans="1:8">
      <c r="A33" s="73" t="s">
        <v>7</v>
      </c>
      <c r="B33" s="18">
        <v>1</v>
      </c>
      <c r="C33" s="10" t="s">
        <v>3</v>
      </c>
      <c r="D33" s="22">
        <v>25000</v>
      </c>
      <c r="E33" s="9"/>
      <c r="F33" s="22">
        <f>ROUNDUP(B33*D33,-2)</f>
        <v>25000</v>
      </c>
      <c r="G33" s="43"/>
      <c r="H33" s="2"/>
    </row>
    <row r="34" spans="1:8">
      <c r="A34" s="73" t="s">
        <v>16</v>
      </c>
      <c r="B34" s="18">
        <v>30</v>
      </c>
      <c r="C34" s="10" t="s">
        <v>17</v>
      </c>
      <c r="D34" s="22">
        <v>48000</v>
      </c>
      <c r="E34" s="22"/>
      <c r="F34" s="22">
        <f>ROUNDUP(B34*D34,-2)</f>
        <v>1440000</v>
      </c>
      <c r="G34" s="43"/>
      <c r="H34" s="2"/>
    </row>
    <row r="35" spans="1:8">
      <c r="A35" s="73" t="s">
        <v>45</v>
      </c>
      <c r="B35" s="18">
        <v>1</v>
      </c>
      <c r="C35" s="10" t="s">
        <v>3</v>
      </c>
      <c r="D35" s="22">
        <f>ROUND(SUM(F20:F34)*0.1,-3)</f>
        <v>391000</v>
      </c>
      <c r="E35" s="9"/>
      <c r="F35" s="22">
        <f>ROUNDUP(B35*D35,-2)</f>
        <v>391000</v>
      </c>
      <c r="G35" s="43"/>
      <c r="H35" s="2"/>
    </row>
    <row r="36" spans="1:8">
      <c r="A36" s="80" t="s">
        <v>47</v>
      </c>
      <c r="B36" s="81"/>
      <c r="C36" s="82"/>
      <c r="D36" s="83"/>
      <c r="E36" s="85"/>
      <c r="F36" s="83">
        <f>ROUND(SUM(F20:F34)*0.1,-3)</f>
        <v>391000</v>
      </c>
      <c r="G36" s="84"/>
      <c r="H36" s="2"/>
    </row>
    <row r="37" spans="1:8" s="4" customFormat="1">
      <c r="A37" s="74" t="s">
        <v>50</v>
      </c>
      <c r="B37" s="39"/>
      <c r="C37" s="40"/>
      <c r="D37" s="46"/>
      <c r="E37" s="41"/>
      <c r="F37" s="41">
        <f>SUM(F20:F36)</f>
        <v>4692000</v>
      </c>
      <c r="G37" s="45"/>
      <c r="H37" s="3"/>
    </row>
    <row r="38" spans="1:8">
      <c r="A38" s="13" t="s">
        <v>18</v>
      </c>
      <c r="B38" s="19"/>
      <c r="C38" s="14"/>
      <c r="D38" s="23"/>
      <c r="E38" s="23"/>
      <c r="F38" s="23"/>
      <c r="G38" s="24"/>
      <c r="H38" s="2"/>
    </row>
    <row r="39" spans="1:8">
      <c r="A39" s="75" t="s">
        <v>19</v>
      </c>
      <c r="B39" s="36">
        <v>1</v>
      </c>
      <c r="C39" s="37" t="s">
        <v>6</v>
      </c>
      <c r="D39" s="38">
        <v>210000</v>
      </c>
      <c r="E39" s="38"/>
      <c r="F39" s="35"/>
      <c r="G39" s="42">
        <f t="shared" ref="G39:G52" si="2">ROUNDUP(B39*D39,-2)</f>
        <v>210000</v>
      </c>
      <c r="H39" s="2"/>
    </row>
    <row r="40" spans="1:8">
      <c r="A40" s="73" t="s">
        <v>20</v>
      </c>
      <c r="B40" s="18">
        <v>1</v>
      </c>
      <c r="C40" s="10" t="s">
        <v>6</v>
      </c>
      <c r="D40" s="22">
        <v>247000</v>
      </c>
      <c r="E40" s="22"/>
      <c r="F40" s="9"/>
      <c r="G40" s="43">
        <f t="shared" si="2"/>
        <v>247000</v>
      </c>
      <c r="H40" s="2"/>
    </row>
    <row r="41" spans="1:8">
      <c r="A41" s="73" t="s">
        <v>21</v>
      </c>
      <c r="B41" s="18">
        <v>1</v>
      </c>
      <c r="C41" s="10" t="s">
        <v>6</v>
      </c>
      <c r="D41" s="22">
        <v>210000</v>
      </c>
      <c r="E41" s="22"/>
      <c r="F41" s="9"/>
      <c r="G41" s="43">
        <f t="shared" si="2"/>
        <v>210000</v>
      </c>
      <c r="H41" s="2"/>
    </row>
    <row r="42" spans="1:8">
      <c r="A42" s="73" t="s">
        <v>22</v>
      </c>
      <c r="B42" s="18">
        <v>1</v>
      </c>
      <c r="C42" s="10" t="s">
        <v>6</v>
      </c>
      <c r="D42" s="22">
        <v>247000</v>
      </c>
      <c r="E42" s="22"/>
      <c r="F42" s="9"/>
      <c r="G42" s="43">
        <f t="shared" si="2"/>
        <v>247000</v>
      </c>
      <c r="H42" s="2"/>
    </row>
    <row r="43" spans="1:8">
      <c r="A43" s="73" t="s">
        <v>34</v>
      </c>
      <c r="B43" s="18">
        <v>4</v>
      </c>
      <c r="C43" s="10" t="s">
        <v>6</v>
      </c>
      <c r="D43" s="22">
        <v>20000</v>
      </c>
      <c r="E43" s="22"/>
      <c r="F43" s="9"/>
      <c r="G43" s="43">
        <f t="shared" si="2"/>
        <v>80000</v>
      </c>
      <c r="H43" s="2"/>
    </row>
    <row r="44" spans="1:8">
      <c r="A44" s="73" t="s">
        <v>41</v>
      </c>
      <c r="B44" s="18">
        <v>800</v>
      </c>
      <c r="C44" s="10" t="s">
        <v>4</v>
      </c>
      <c r="D44" s="22">
        <v>150</v>
      </c>
      <c r="E44" s="22"/>
      <c r="F44" s="22"/>
      <c r="G44" s="43">
        <f t="shared" si="2"/>
        <v>120000</v>
      </c>
      <c r="H44" s="2"/>
    </row>
    <row r="45" spans="1:8">
      <c r="A45" s="73" t="s">
        <v>39</v>
      </c>
      <c r="B45" s="18">
        <v>1</v>
      </c>
      <c r="C45" s="10" t="s">
        <v>6</v>
      </c>
      <c r="D45" s="22">
        <v>230000</v>
      </c>
      <c r="E45" s="22"/>
      <c r="F45" s="9"/>
      <c r="G45" s="43">
        <f t="shared" si="2"/>
        <v>230000</v>
      </c>
      <c r="H45" s="2"/>
    </row>
    <row r="46" spans="1:8">
      <c r="A46" s="73" t="s">
        <v>44</v>
      </c>
      <c r="B46" s="18">
        <v>1</v>
      </c>
      <c r="C46" s="10" t="s">
        <v>6</v>
      </c>
      <c r="D46" s="22">
        <v>145000</v>
      </c>
      <c r="E46" s="22"/>
      <c r="F46" s="9"/>
      <c r="G46" s="43">
        <f t="shared" si="2"/>
        <v>145000</v>
      </c>
      <c r="H46" s="2"/>
    </row>
    <row r="47" spans="1:8">
      <c r="A47" s="73" t="s">
        <v>40</v>
      </c>
      <c r="B47" s="18">
        <v>1</v>
      </c>
      <c r="C47" s="10" t="s">
        <v>6</v>
      </c>
      <c r="D47" s="22">
        <v>250000</v>
      </c>
      <c r="E47" s="22"/>
      <c r="F47" s="9"/>
      <c r="G47" s="43">
        <f t="shared" si="2"/>
        <v>250000</v>
      </c>
      <c r="H47" s="2"/>
    </row>
    <row r="48" spans="1:8">
      <c r="A48" s="73" t="s">
        <v>43</v>
      </c>
      <c r="B48" s="18">
        <v>1</v>
      </c>
      <c r="C48" s="10" t="s">
        <v>6</v>
      </c>
      <c r="D48" s="22">
        <v>193000</v>
      </c>
      <c r="E48" s="22"/>
      <c r="F48" s="9"/>
      <c r="G48" s="43">
        <f t="shared" si="2"/>
        <v>193000</v>
      </c>
      <c r="H48" s="2"/>
    </row>
    <row r="49" spans="1:8">
      <c r="A49" s="73" t="s">
        <v>13</v>
      </c>
      <c r="B49" s="18">
        <v>1</v>
      </c>
      <c r="C49" s="10" t="s">
        <v>6</v>
      </c>
      <c r="D49" s="22">
        <v>40000</v>
      </c>
      <c r="E49" s="9"/>
      <c r="F49" s="9"/>
      <c r="G49" s="43">
        <f t="shared" si="2"/>
        <v>40000</v>
      </c>
      <c r="H49" s="2"/>
    </row>
    <row r="50" spans="1:8">
      <c r="A50" s="73" t="s">
        <v>15</v>
      </c>
      <c r="B50" s="18">
        <f>941-SUM(B32,B12)</f>
        <v>141</v>
      </c>
      <c r="C50" s="10" t="s">
        <v>6</v>
      </c>
      <c r="D50" s="22">
        <v>800</v>
      </c>
      <c r="E50" s="22"/>
      <c r="F50" s="9"/>
      <c r="G50" s="43">
        <f t="shared" si="2"/>
        <v>112800</v>
      </c>
      <c r="H50" s="2"/>
    </row>
    <row r="51" spans="1:8">
      <c r="A51" s="73" t="s">
        <v>7</v>
      </c>
      <c r="B51" s="18">
        <v>1</v>
      </c>
      <c r="C51" s="10" t="s">
        <v>3</v>
      </c>
      <c r="D51" s="22">
        <v>25000</v>
      </c>
      <c r="E51" s="9"/>
      <c r="F51" s="9"/>
      <c r="G51" s="43">
        <f>ROUNDUP(B51*D51,-2)</f>
        <v>25000</v>
      </c>
      <c r="H51" s="2"/>
    </row>
    <row r="52" spans="1:8">
      <c r="A52" s="73" t="s">
        <v>16</v>
      </c>
      <c r="B52" s="18">
        <v>20</v>
      </c>
      <c r="C52" s="10" t="s">
        <v>17</v>
      </c>
      <c r="D52" s="22">
        <v>48000</v>
      </c>
      <c r="E52" s="22"/>
      <c r="F52" s="9"/>
      <c r="G52" s="43">
        <f t="shared" si="2"/>
        <v>960000</v>
      </c>
      <c r="H52" s="2"/>
    </row>
    <row r="53" spans="1:8">
      <c r="A53" s="73" t="s">
        <v>45</v>
      </c>
      <c r="B53" s="18">
        <v>1</v>
      </c>
      <c r="C53" s="10" t="s">
        <v>3</v>
      </c>
      <c r="D53" s="22">
        <f>ROUND(SUM(G39:G52)*0.1,-3)</f>
        <v>307000</v>
      </c>
      <c r="E53" s="9"/>
      <c r="F53" s="9"/>
      <c r="G53" s="43">
        <f>ROUNDUP(B53*D53,-2)</f>
        <v>307000</v>
      </c>
      <c r="H53" s="2"/>
    </row>
    <row r="54" spans="1:8">
      <c r="A54" s="80" t="s">
        <v>47</v>
      </c>
      <c r="B54" s="81"/>
      <c r="C54" s="82"/>
      <c r="D54" s="83"/>
      <c r="E54" s="85"/>
      <c r="F54" s="83"/>
      <c r="G54" s="84">
        <f>ROUND(SUM(G39:G53)*0.1,-3)</f>
        <v>338000</v>
      </c>
      <c r="H54" s="2"/>
    </row>
    <row r="55" spans="1:8" s="4" customFormat="1">
      <c r="A55" s="74" t="s">
        <v>51</v>
      </c>
      <c r="B55" s="39"/>
      <c r="C55" s="40"/>
      <c r="D55" s="46"/>
      <c r="E55" s="41"/>
      <c r="F55" s="44"/>
      <c r="G55" s="45">
        <f>ROUND(SUM(G39:G54),-3)</f>
        <v>3715000</v>
      </c>
      <c r="H55" s="3"/>
    </row>
    <row r="56" spans="1:8" ht="15.75" thickBot="1">
      <c r="A56" s="76"/>
      <c r="B56" s="47"/>
      <c r="C56" s="48"/>
      <c r="D56" s="49" t="s">
        <v>27</v>
      </c>
      <c r="E56" s="34">
        <f>E18</f>
        <v>6337000</v>
      </c>
      <c r="F56" s="34">
        <f>F37</f>
        <v>4692000</v>
      </c>
      <c r="G56" s="50">
        <f>SUM(G55)</f>
        <v>3715000</v>
      </c>
      <c r="H56" s="2"/>
    </row>
    <row r="57" spans="1:8">
      <c r="A57" s="54" t="s">
        <v>32</v>
      </c>
      <c r="B57" s="55"/>
      <c r="C57" s="56"/>
      <c r="D57" s="57"/>
      <c r="E57" s="58"/>
      <c r="F57" s="58"/>
      <c r="G57" s="59"/>
      <c r="H57" s="2"/>
    </row>
    <row r="58" spans="1:8">
      <c r="A58" s="77" t="s">
        <v>10</v>
      </c>
      <c r="B58" s="17">
        <v>1</v>
      </c>
      <c r="C58" s="12" t="s">
        <v>3</v>
      </c>
      <c r="D58" s="21">
        <v>20000</v>
      </c>
      <c r="E58" s="21"/>
      <c r="F58" s="11"/>
      <c r="G58" s="53">
        <f t="shared" ref="G58:G63" si="3">ROUNDUP(B58*D58,-2)</f>
        <v>20000</v>
      </c>
      <c r="H58" s="2"/>
    </row>
    <row r="59" spans="1:8">
      <c r="A59" s="73" t="s">
        <v>11</v>
      </c>
      <c r="B59" s="18">
        <v>1</v>
      </c>
      <c r="C59" s="10" t="s">
        <v>3</v>
      </c>
      <c r="D59" s="22">
        <v>230000</v>
      </c>
      <c r="E59" s="22"/>
      <c r="F59" s="9"/>
      <c r="G59" s="43">
        <f t="shared" si="3"/>
        <v>230000</v>
      </c>
      <c r="H59" s="2"/>
    </row>
    <row r="60" spans="1:8">
      <c r="A60" s="73" t="s">
        <v>12</v>
      </c>
      <c r="B60" s="18">
        <v>1</v>
      </c>
      <c r="C60" s="10" t="s">
        <v>3</v>
      </c>
      <c r="D60" s="22">
        <v>150000</v>
      </c>
      <c r="E60" s="22"/>
      <c r="F60" s="9"/>
      <c r="G60" s="43">
        <f t="shared" si="3"/>
        <v>150000</v>
      </c>
      <c r="H60" s="2"/>
    </row>
    <row r="61" spans="1:8">
      <c r="A61" s="73" t="s">
        <v>33</v>
      </c>
      <c r="B61" s="18">
        <v>31680</v>
      </c>
      <c r="C61" s="10" t="s">
        <v>4</v>
      </c>
      <c r="D61" s="22">
        <v>1.5</v>
      </c>
      <c r="E61" s="22"/>
      <c r="F61" s="9"/>
      <c r="G61" s="43">
        <f t="shared" si="3"/>
        <v>47600</v>
      </c>
      <c r="H61" s="2"/>
    </row>
    <row r="62" spans="1:8">
      <c r="A62" s="73" t="s">
        <v>14</v>
      </c>
      <c r="B62" s="18">
        <v>10000</v>
      </c>
      <c r="C62" s="10" t="s">
        <v>4</v>
      </c>
      <c r="D62" s="22">
        <v>235</v>
      </c>
      <c r="E62" s="22"/>
      <c r="F62" s="9"/>
      <c r="G62" s="43">
        <f t="shared" si="3"/>
        <v>2350000</v>
      </c>
      <c r="H62" s="2"/>
    </row>
    <row r="63" spans="1:8">
      <c r="A63" s="78" t="s">
        <v>15</v>
      </c>
      <c r="B63" s="68">
        <v>71</v>
      </c>
      <c r="C63" s="69" t="s">
        <v>6</v>
      </c>
      <c r="D63" s="70">
        <v>800</v>
      </c>
      <c r="E63" s="70"/>
      <c r="F63" s="67"/>
      <c r="G63" s="71">
        <f t="shared" si="3"/>
        <v>56800</v>
      </c>
      <c r="H63" s="2"/>
    </row>
    <row r="64" spans="1:8" s="4" customFormat="1" ht="15.75" thickBot="1">
      <c r="A64" s="79" t="s">
        <v>52</v>
      </c>
      <c r="B64" s="61"/>
      <c r="C64" s="62"/>
      <c r="D64" s="63"/>
      <c r="E64" s="64"/>
      <c r="F64" s="60"/>
      <c r="G64" s="65">
        <f>SUM(G58:G63)</f>
        <v>2854400</v>
      </c>
      <c r="H64" s="3"/>
    </row>
    <row r="65" spans="1:7" ht="30" customHeight="1">
      <c r="A65" s="133" t="s">
        <v>53</v>
      </c>
      <c r="B65" s="134"/>
      <c r="C65" s="134"/>
      <c r="D65" s="134"/>
      <c r="E65" s="134"/>
      <c r="F65" s="134"/>
      <c r="G65" s="135"/>
    </row>
  </sheetData>
  <mergeCells count="1">
    <mergeCell ref="A65:G65"/>
  </mergeCells>
  <printOptions horizontalCentered="1"/>
  <pageMargins left="0.25" right="0.25" top="1" bottom="0.75" header="0.3" footer="0.3"/>
  <pageSetup scale="94" fitToHeight="0" orientation="portrait" r:id="rId1"/>
  <headerFooter>
    <oddHeader>&amp;C&amp;"-,Bold"&amp;12Effingham County Recreation and Parks
Central Sports Complex
&amp;"-,Regular"August 28, 2015</oddHeader>
    <oddFooter>Page &amp;P of &amp;N</oddFooter>
  </headerFooter>
  <rowBreaks count="1" manualBreakCount="1">
    <brk id="37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Normal="100" workbookViewId="0">
      <selection activeCell="I32" sqref="I32"/>
    </sheetView>
  </sheetViews>
  <sheetFormatPr defaultColWidth="9.140625" defaultRowHeight="15"/>
  <cols>
    <col min="1" max="1" width="47.42578125" style="2" customWidth="1"/>
    <col min="2" max="2" width="8.42578125" style="20" customWidth="1"/>
    <col min="3" max="3" width="5.5703125" style="5" customWidth="1"/>
    <col min="4" max="4" width="11.42578125" style="6" customWidth="1"/>
    <col min="5" max="5" width="11.85546875" style="25" customWidth="1"/>
    <col min="6" max="6" width="11.28515625" style="27" customWidth="1"/>
    <col min="7" max="7" width="11.5703125" style="26" bestFit="1" customWidth="1"/>
    <col min="8" max="16384" width="9.140625" style="1"/>
  </cols>
  <sheetData>
    <row r="1" spans="1:8" s="16" customFormat="1" ht="30.75" thickBot="1">
      <c r="A1" s="72" t="s">
        <v>26</v>
      </c>
      <c r="B1" s="28" t="s">
        <v>0</v>
      </c>
      <c r="C1" s="28" t="s">
        <v>1</v>
      </c>
      <c r="D1" s="29" t="s">
        <v>25</v>
      </c>
      <c r="E1" s="51" t="s">
        <v>28</v>
      </c>
      <c r="F1" s="51" t="s">
        <v>29</v>
      </c>
      <c r="G1" s="52" t="s">
        <v>30</v>
      </c>
      <c r="H1" s="15"/>
    </row>
    <row r="2" spans="1:8" s="8" customFormat="1">
      <c r="A2" s="13" t="s">
        <v>2</v>
      </c>
      <c r="B2" s="30"/>
      <c r="C2" s="31"/>
      <c r="D2" s="32"/>
      <c r="E2" s="32"/>
      <c r="F2" s="32"/>
      <c r="G2" s="33"/>
      <c r="H2" s="7"/>
    </row>
    <row r="3" spans="1:8">
      <c r="A3" s="73" t="s">
        <v>35</v>
      </c>
      <c r="B3" s="18">
        <v>2</v>
      </c>
      <c r="C3" s="10" t="s">
        <v>6</v>
      </c>
      <c r="D3" s="22">
        <v>225000</v>
      </c>
      <c r="E3" s="22">
        <f t="shared" ref="E3:E15" si="0">ROUNDUP(B3*D3,-2)</f>
        <v>450000</v>
      </c>
      <c r="F3" s="22"/>
      <c r="G3" s="43"/>
      <c r="H3" s="2"/>
    </row>
    <row r="4" spans="1:8">
      <c r="A4" s="73" t="s">
        <v>36</v>
      </c>
      <c r="B4" s="18">
        <v>3</v>
      </c>
      <c r="C4" s="10" t="s">
        <v>6</v>
      </c>
      <c r="D4" s="66">
        <v>200000</v>
      </c>
      <c r="E4" s="22">
        <f t="shared" si="0"/>
        <v>600000</v>
      </c>
      <c r="F4" s="22"/>
      <c r="G4" s="43"/>
      <c r="H4" s="2"/>
    </row>
    <row r="5" spans="1:8">
      <c r="A5" s="73" t="s">
        <v>37</v>
      </c>
      <c r="B5" s="18">
        <v>1</v>
      </c>
      <c r="C5" s="10" t="s">
        <v>6</v>
      </c>
      <c r="D5" s="22">
        <v>665000</v>
      </c>
      <c r="E5" s="22">
        <f t="shared" si="0"/>
        <v>665000</v>
      </c>
      <c r="F5" s="22"/>
      <c r="G5" s="43"/>
      <c r="H5" s="2"/>
    </row>
    <row r="6" spans="1:8">
      <c r="A6" s="73" t="s">
        <v>48</v>
      </c>
      <c r="B6" s="18">
        <v>2</v>
      </c>
      <c r="C6" s="10" t="s">
        <v>6</v>
      </c>
      <c r="D6" s="22">
        <v>4000</v>
      </c>
      <c r="E6" s="22">
        <f t="shared" si="0"/>
        <v>8000</v>
      </c>
      <c r="F6" s="22"/>
      <c r="G6" s="43"/>
      <c r="H6" s="2"/>
    </row>
    <row r="7" spans="1:8">
      <c r="A7" s="73" t="s">
        <v>34</v>
      </c>
      <c r="B7" s="18">
        <v>10</v>
      </c>
      <c r="C7" s="10" t="s">
        <v>6</v>
      </c>
      <c r="D7" s="22">
        <v>20000</v>
      </c>
      <c r="E7" s="22">
        <f t="shared" si="0"/>
        <v>200000</v>
      </c>
      <c r="F7" s="22"/>
      <c r="G7" s="43"/>
      <c r="H7" s="2"/>
    </row>
    <row r="8" spans="1:8">
      <c r="A8" s="73" t="s">
        <v>23</v>
      </c>
      <c r="B8" s="18">
        <v>1800</v>
      </c>
      <c r="C8" s="10" t="s">
        <v>4</v>
      </c>
      <c r="D8" s="22">
        <v>150</v>
      </c>
      <c r="E8" s="22">
        <f t="shared" si="0"/>
        <v>270000</v>
      </c>
      <c r="F8" s="22"/>
      <c r="G8" s="43"/>
      <c r="H8" s="2"/>
    </row>
    <row r="9" spans="1:8">
      <c r="A9" s="73" t="s">
        <v>46</v>
      </c>
      <c r="B9" s="18">
        <v>1</v>
      </c>
      <c r="C9" s="10" t="s">
        <v>6</v>
      </c>
      <c r="D9" s="22">
        <v>1500000</v>
      </c>
      <c r="E9" s="22">
        <f t="shared" si="0"/>
        <v>1500000</v>
      </c>
      <c r="F9" s="22"/>
      <c r="G9" s="43"/>
      <c r="H9" s="2"/>
    </row>
    <row r="10" spans="1:8">
      <c r="A10" s="73" t="s">
        <v>5</v>
      </c>
      <c r="B10" s="18">
        <v>1500</v>
      </c>
      <c r="C10" s="10" t="s">
        <v>4</v>
      </c>
      <c r="D10" s="22">
        <v>40</v>
      </c>
      <c r="E10" s="22">
        <f t="shared" si="0"/>
        <v>60000</v>
      </c>
      <c r="F10" s="22"/>
      <c r="G10" s="43"/>
      <c r="H10" s="2"/>
    </row>
    <row r="11" spans="1:8">
      <c r="A11" s="73" t="s">
        <v>42</v>
      </c>
      <c r="B11" s="18">
        <v>1</v>
      </c>
      <c r="C11" s="10" t="s">
        <v>3</v>
      </c>
      <c r="D11" s="22">
        <v>275000</v>
      </c>
      <c r="E11" s="22">
        <f t="shared" si="0"/>
        <v>275000</v>
      </c>
      <c r="F11" s="22"/>
      <c r="G11" s="43"/>
      <c r="H11" s="2"/>
    </row>
    <row r="12" spans="1:8">
      <c r="A12" s="73" t="s">
        <v>15</v>
      </c>
      <c r="B12" s="18">
        <v>400</v>
      </c>
      <c r="C12" s="10" t="s">
        <v>6</v>
      </c>
      <c r="D12" s="22">
        <v>800</v>
      </c>
      <c r="E12" s="22">
        <f t="shared" si="0"/>
        <v>320000</v>
      </c>
      <c r="F12" s="22"/>
      <c r="G12" s="43"/>
      <c r="H12" s="2"/>
    </row>
    <row r="13" spans="1:8">
      <c r="A13" s="73" t="s">
        <v>7</v>
      </c>
      <c r="B13" s="18">
        <v>1</v>
      </c>
      <c r="C13" s="10" t="s">
        <v>3</v>
      </c>
      <c r="D13" s="22">
        <v>25000</v>
      </c>
      <c r="E13" s="22">
        <f t="shared" si="0"/>
        <v>25000</v>
      </c>
      <c r="F13" s="22"/>
      <c r="G13" s="43"/>
      <c r="H13" s="2"/>
    </row>
    <row r="14" spans="1:8">
      <c r="A14" s="73" t="s">
        <v>24</v>
      </c>
      <c r="B14" s="18">
        <v>1</v>
      </c>
      <c r="C14" s="10" t="s">
        <v>6</v>
      </c>
      <c r="D14" s="22">
        <v>6000</v>
      </c>
      <c r="E14" s="22">
        <f t="shared" si="0"/>
        <v>6000</v>
      </c>
      <c r="F14" s="22"/>
      <c r="G14" s="43"/>
      <c r="H14" s="2"/>
    </row>
    <row r="15" spans="1:8">
      <c r="A15" s="73" t="s">
        <v>38</v>
      </c>
      <c r="B15" s="18">
        <v>25</v>
      </c>
      <c r="C15" s="10" t="s">
        <v>17</v>
      </c>
      <c r="D15" s="22">
        <v>48000</v>
      </c>
      <c r="E15" s="22">
        <f t="shared" si="0"/>
        <v>1200000</v>
      </c>
      <c r="F15" s="22"/>
      <c r="G15" s="43"/>
      <c r="H15" s="2"/>
    </row>
    <row r="16" spans="1:8">
      <c r="A16" s="73" t="s">
        <v>45</v>
      </c>
      <c r="B16" s="18">
        <v>1</v>
      </c>
      <c r="C16" s="10" t="s">
        <v>3</v>
      </c>
      <c r="D16" s="22">
        <f>ROUND(SUM(E3:E15)*0.1,-3)</f>
        <v>558000</v>
      </c>
      <c r="E16" s="22">
        <f>ROUNDUP(B16*D16,-2)</f>
        <v>558000</v>
      </c>
      <c r="F16" s="22"/>
      <c r="G16" s="43"/>
      <c r="H16" s="2"/>
    </row>
    <row r="17" spans="1:8">
      <c r="A17" s="80" t="s">
        <v>49</v>
      </c>
      <c r="B17" s="81"/>
      <c r="C17" s="82"/>
      <c r="D17" s="83"/>
      <c r="E17" s="83">
        <v>200000</v>
      </c>
      <c r="F17" s="83"/>
      <c r="G17" s="84"/>
      <c r="H17" s="2"/>
    </row>
    <row r="18" spans="1:8" s="4" customFormat="1">
      <c r="A18" s="74" t="s">
        <v>8</v>
      </c>
      <c r="B18" s="39"/>
      <c r="C18" s="40"/>
      <c r="D18" s="41"/>
      <c r="E18" s="41">
        <f>SUM(E3:E17)</f>
        <v>6337000</v>
      </c>
      <c r="F18" s="41"/>
      <c r="G18" s="45"/>
      <c r="H18" s="3"/>
    </row>
    <row r="19" spans="1:8">
      <c r="A19" s="13" t="s">
        <v>9</v>
      </c>
      <c r="B19" s="19"/>
      <c r="C19" s="14"/>
      <c r="D19" s="23"/>
      <c r="E19" s="23"/>
      <c r="F19" s="23"/>
      <c r="G19" s="24"/>
      <c r="H19" s="2"/>
    </row>
    <row r="20" spans="1:8">
      <c r="A20" s="73" t="s">
        <v>19</v>
      </c>
      <c r="B20" s="18">
        <v>2</v>
      </c>
      <c r="C20" s="10" t="s">
        <v>6</v>
      </c>
      <c r="D20" s="22">
        <v>210000</v>
      </c>
      <c r="E20" s="22"/>
      <c r="F20" s="22">
        <f t="shared" ref="F20:F32" si="1">ROUNDUP(B20*D20,-2)</f>
        <v>420000</v>
      </c>
      <c r="G20" s="43"/>
      <c r="H20" s="2"/>
    </row>
    <row r="21" spans="1:8">
      <c r="A21" s="73" t="s">
        <v>20</v>
      </c>
      <c r="B21" s="18">
        <v>2</v>
      </c>
      <c r="C21" s="10" t="s">
        <v>6</v>
      </c>
      <c r="D21" s="22">
        <v>247000</v>
      </c>
      <c r="E21" s="22"/>
      <c r="F21" s="22">
        <f t="shared" si="1"/>
        <v>494000</v>
      </c>
      <c r="G21" s="43"/>
      <c r="H21" s="2"/>
    </row>
    <row r="22" spans="1:8">
      <c r="A22" s="73" t="s">
        <v>21</v>
      </c>
      <c r="B22" s="18">
        <v>2</v>
      </c>
      <c r="C22" s="10" t="s">
        <v>6</v>
      </c>
      <c r="D22" s="22">
        <v>210000</v>
      </c>
      <c r="E22" s="22"/>
      <c r="F22" s="22">
        <f t="shared" si="1"/>
        <v>420000</v>
      </c>
      <c r="G22" s="43"/>
      <c r="H22" s="2"/>
    </row>
    <row r="23" spans="1:8">
      <c r="A23" s="73" t="s">
        <v>22</v>
      </c>
      <c r="B23" s="18">
        <v>2</v>
      </c>
      <c r="C23" s="10" t="s">
        <v>6</v>
      </c>
      <c r="D23" s="22">
        <v>247000</v>
      </c>
      <c r="E23" s="22"/>
      <c r="F23" s="22">
        <f t="shared" si="1"/>
        <v>494000</v>
      </c>
      <c r="G23" s="43"/>
      <c r="H23" s="2"/>
    </row>
    <row r="24" spans="1:8">
      <c r="A24" s="73" t="s">
        <v>48</v>
      </c>
      <c r="B24" s="18">
        <v>2</v>
      </c>
      <c r="C24" s="10" t="s">
        <v>6</v>
      </c>
      <c r="D24" s="22">
        <v>4000</v>
      </c>
      <c r="E24" s="22"/>
      <c r="F24" s="22">
        <f t="shared" si="1"/>
        <v>8000</v>
      </c>
      <c r="G24" s="43"/>
      <c r="H24" s="2"/>
    </row>
    <row r="25" spans="1:8">
      <c r="A25" s="73" t="s">
        <v>34</v>
      </c>
      <c r="B25" s="18">
        <v>8</v>
      </c>
      <c r="C25" s="10" t="s">
        <v>6</v>
      </c>
      <c r="D25" s="22">
        <v>20000</v>
      </c>
      <c r="E25" s="22"/>
      <c r="F25" s="22">
        <f t="shared" si="1"/>
        <v>160000</v>
      </c>
      <c r="G25" s="43"/>
      <c r="H25" s="2"/>
    </row>
    <row r="26" spans="1:8">
      <c r="A26" s="73" t="s">
        <v>23</v>
      </c>
      <c r="B26" s="18">
        <v>1500</v>
      </c>
      <c r="C26" s="10" t="s">
        <v>4</v>
      </c>
      <c r="D26" s="22">
        <v>150</v>
      </c>
      <c r="E26" s="22"/>
      <c r="F26" s="22">
        <f t="shared" si="1"/>
        <v>225000</v>
      </c>
      <c r="G26" s="43"/>
      <c r="H26" s="2"/>
    </row>
    <row r="27" spans="1:8">
      <c r="A27" s="73" t="s">
        <v>39</v>
      </c>
      <c r="B27" s="18">
        <v>1</v>
      </c>
      <c r="C27" s="10" t="s">
        <v>6</v>
      </c>
      <c r="D27" s="22">
        <v>230000</v>
      </c>
      <c r="E27" s="22"/>
      <c r="F27" s="22">
        <f t="shared" si="1"/>
        <v>230000</v>
      </c>
      <c r="G27" s="43"/>
      <c r="H27" s="2"/>
    </row>
    <row r="28" spans="1:8">
      <c r="A28" s="73" t="s">
        <v>44</v>
      </c>
      <c r="B28" s="18">
        <v>1</v>
      </c>
      <c r="C28" s="10" t="s">
        <v>6</v>
      </c>
      <c r="D28" s="22">
        <v>145000</v>
      </c>
      <c r="E28" s="22"/>
      <c r="F28" s="22">
        <f t="shared" si="1"/>
        <v>145000</v>
      </c>
      <c r="G28" s="43"/>
      <c r="H28" s="2"/>
    </row>
    <row r="29" spans="1:8">
      <c r="A29" s="73" t="s">
        <v>40</v>
      </c>
      <c r="B29" s="18">
        <v>1</v>
      </c>
      <c r="C29" s="10" t="s">
        <v>6</v>
      </c>
      <c r="D29" s="22">
        <v>250000</v>
      </c>
      <c r="E29" s="22"/>
      <c r="F29" s="22">
        <f t="shared" si="1"/>
        <v>250000</v>
      </c>
      <c r="G29" s="43"/>
      <c r="H29" s="2"/>
    </row>
    <row r="30" spans="1:8">
      <c r="A30" s="73" t="s">
        <v>43</v>
      </c>
      <c r="B30" s="18">
        <v>1</v>
      </c>
      <c r="C30" s="10" t="s">
        <v>6</v>
      </c>
      <c r="D30" s="22">
        <v>193000</v>
      </c>
      <c r="E30" s="22"/>
      <c r="F30" s="22">
        <f t="shared" si="1"/>
        <v>193000</v>
      </c>
      <c r="G30" s="43"/>
      <c r="H30" s="2"/>
    </row>
    <row r="31" spans="1:8">
      <c r="A31" s="73" t="s">
        <v>31</v>
      </c>
      <c r="B31" s="18">
        <v>2</v>
      </c>
      <c r="C31" s="10" t="s">
        <v>6</v>
      </c>
      <c r="D31" s="22">
        <v>40000</v>
      </c>
      <c r="E31" s="9"/>
      <c r="F31" s="22">
        <f>ROUNDUP(B31*D31,-2)</f>
        <v>80000</v>
      </c>
      <c r="G31" s="43"/>
      <c r="H31" s="2"/>
    </row>
    <row r="32" spans="1:8">
      <c r="A32" s="73" t="s">
        <v>15</v>
      </c>
      <c r="B32" s="18">
        <v>400</v>
      </c>
      <c r="C32" s="10" t="s">
        <v>6</v>
      </c>
      <c r="D32" s="22">
        <v>800</v>
      </c>
      <c r="E32" s="22"/>
      <c r="F32" s="22">
        <f t="shared" si="1"/>
        <v>320000</v>
      </c>
      <c r="G32" s="43"/>
      <c r="H32" s="2"/>
    </row>
    <row r="33" spans="1:8">
      <c r="A33" s="73" t="s">
        <v>7</v>
      </c>
      <c r="B33" s="18">
        <v>1</v>
      </c>
      <c r="C33" s="10" t="s">
        <v>3</v>
      </c>
      <c r="D33" s="22">
        <v>25000</v>
      </c>
      <c r="E33" s="9"/>
      <c r="F33" s="22">
        <f>ROUNDUP(B33*D33,-2)</f>
        <v>25000</v>
      </c>
      <c r="G33" s="43"/>
      <c r="H33" s="2"/>
    </row>
    <row r="34" spans="1:8">
      <c r="A34" s="73" t="s">
        <v>16</v>
      </c>
      <c r="B34" s="18">
        <v>30</v>
      </c>
      <c r="C34" s="10" t="s">
        <v>17</v>
      </c>
      <c r="D34" s="22">
        <v>48000</v>
      </c>
      <c r="E34" s="22"/>
      <c r="F34" s="22">
        <f>ROUNDUP(B34*D34,-2)</f>
        <v>1440000</v>
      </c>
      <c r="G34" s="43"/>
      <c r="H34" s="2"/>
    </row>
    <row r="35" spans="1:8">
      <c r="A35" s="73" t="s">
        <v>45</v>
      </c>
      <c r="B35" s="18">
        <v>1</v>
      </c>
      <c r="C35" s="10" t="s">
        <v>3</v>
      </c>
      <c r="D35" s="22">
        <f>ROUND(SUM(F20:F34)*0.1,-3)</f>
        <v>490000</v>
      </c>
      <c r="E35" s="9"/>
      <c r="F35" s="22">
        <f>ROUNDUP(B35*D35,-2)</f>
        <v>490000</v>
      </c>
      <c r="G35" s="43"/>
      <c r="H35" s="2"/>
    </row>
    <row r="36" spans="1:8">
      <c r="A36" s="80" t="s">
        <v>47</v>
      </c>
      <c r="B36" s="81"/>
      <c r="C36" s="82"/>
      <c r="D36" s="83"/>
      <c r="E36" s="85"/>
      <c r="F36" s="83">
        <f>ROUND(SUM(F20:F34)*0.1,-3)</f>
        <v>490000</v>
      </c>
      <c r="G36" s="84"/>
      <c r="H36" s="2"/>
    </row>
    <row r="37" spans="1:8" s="4" customFormat="1">
      <c r="A37" s="74" t="s">
        <v>50</v>
      </c>
      <c r="B37" s="39"/>
      <c r="C37" s="40"/>
      <c r="D37" s="46"/>
      <c r="E37" s="41"/>
      <c r="F37" s="41">
        <f>SUM(F20:F36)</f>
        <v>5884000</v>
      </c>
      <c r="G37" s="45"/>
      <c r="H37" s="3"/>
    </row>
    <row r="38" spans="1:8">
      <c r="A38" s="13" t="s">
        <v>18</v>
      </c>
      <c r="B38" s="19"/>
      <c r="C38" s="14"/>
      <c r="D38" s="23"/>
      <c r="E38" s="23"/>
      <c r="F38" s="23"/>
      <c r="G38" s="24"/>
      <c r="H38" s="2"/>
    </row>
    <row r="39" spans="1:8">
      <c r="A39" s="73" t="s">
        <v>41</v>
      </c>
      <c r="B39" s="18">
        <v>800</v>
      </c>
      <c r="C39" s="10" t="s">
        <v>4</v>
      </c>
      <c r="D39" s="22">
        <v>150</v>
      </c>
      <c r="E39" s="22"/>
      <c r="F39" s="22"/>
      <c r="G39" s="43">
        <f t="shared" ref="G39:G47" si="2">ROUNDUP(B39*D39,-2)</f>
        <v>120000</v>
      </c>
      <c r="H39" s="2"/>
    </row>
    <row r="40" spans="1:8">
      <c r="A40" s="73" t="s">
        <v>39</v>
      </c>
      <c r="B40" s="18">
        <v>1</v>
      </c>
      <c r="C40" s="10" t="s">
        <v>6</v>
      </c>
      <c r="D40" s="22">
        <v>230000</v>
      </c>
      <c r="E40" s="22"/>
      <c r="F40" s="9"/>
      <c r="G40" s="43">
        <f t="shared" si="2"/>
        <v>230000</v>
      </c>
      <c r="H40" s="2"/>
    </row>
    <row r="41" spans="1:8">
      <c r="A41" s="73" t="s">
        <v>44</v>
      </c>
      <c r="B41" s="18">
        <v>1</v>
      </c>
      <c r="C41" s="10" t="s">
        <v>6</v>
      </c>
      <c r="D41" s="22">
        <v>145000</v>
      </c>
      <c r="E41" s="22"/>
      <c r="F41" s="9"/>
      <c r="G41" s="43">
        <f t="shared" si="2"/>
        <v>145000</v>
      </c>
      <c r="H41" s="2"/>
    </row>
    <row r="42" spans="1:8">
      <c r="A42" s="73" t="s">
        <v>40</v>
      </c>
      <c r="B42" s="18">
        <v>1</v>
      </c>
      <c r="C42" s="10" t="s">
        <v>6</v>
      </c>
      <c r="D42" s="22">
        <v>250000</v>
      </c>
      <c r="E42" s="22"/>
      <c r="F42" s="9"/>
      <c r="G42" s="43">
        <f t="shared" si="2"/>
        <v>250000</v>
      </c>
      <c r="H42" s="2"/>
    </row>
    <row r="43" spans="1:8">
      <c r="A43" s="73" t="s">
        <v>43</v>
      </c>
      <c r="B43" s="18">
        <v>1</v>
      </c>
      <c r="C43" s="10" t="s">
        <v>6</v>
      </c>
      <c r="D43" s="22">
        <v>193000</v>
      </c>
      <c r="E43" s="22"/>
      <c r="F43" s="9"/>
      <c r="G43" s="43">
        <f t="shared" si="2"/>
        <v>193000</v>
      </c>
      <c r="H43" s="2"/>
    </row>
    <row r="44" spans="1:8">
      <c r="A44" s="73" t="s">
        <v>13</v>
      </c>
      <c r="B44" s="18">
        <v>1</v>
      </c>
      <c r="C44" s="10" t="s">
        <v>6</v>
      </c>
      <c r="D44" s="22">
        <v>40000</v>
      </c>
      <c r="E44" s="9"/>
      <c r="F44" s="9"/>
      <c r="G44" s="43">
        <f t="shared" si="2"/>
        <v>40000</v>
      </c>
      <c r="H44" s="2"/>
    </row>
    <row r="45" spans="1:8">
      <c r="A45" s="73" t="s">
        <v>15</v>
      </c>
      <c r="B45" s="18">
        <f>941-SUM(B32,B12)</f>
        <v>141</v>
      </c>
      <c r="C45" s="10" t="s">
        <v>6</v>
      </c>
      <c r="D45" s="22">
        <v>800</v>
      </c>
      <c r="E45" s="22"/>
      <c r="F45" s="9"/>
      <c r="G45" s="43">
        <f t="shared" si="2"/>
        <v>112800</v>
      </c>
      <c r="H45" s="2"/>
    </row>
    <row r="46" spans="1:8">
      <c r="A46" s="73" t="s">
        <v>7</v>
      </c>
      <c r="B46" s="18">
        <v>1</v>
      </c>
      <c r="C46" s="10" t="s">
        <v>3</v>
      </c>
      <c r="D46" s="22">
        <v>25000</v>
      </c>
      <c r="E46" s="9"/>
      <c r="F46" s="9"/>
      <c r="G46" s="43">
        <f>ROUNDUP(B46*D46,-2)</f>
        <v>25000</v>
      </c>
      <c r="H46" s="2"/>
    </row>
    <row r="47" spans="1:8">
      <c r="A47" s="73" t="s">
        <v>16</v>
      </c>
      <c r="B47" s="18">
        <v>20</v>
      </c>
      <c r="C47" s="10" t="s">
        <v>17</v>
      </c>
      <c r="D47" s="22">
        <v>48000</v>
      </c>
      <c r="E47" s="22"/>
      <c r="F47" s="9"/>
      <c r="G47" s="43">
        <f t="shared" si="2"/>
        <v>960000</v>
      </c>
      <c r="H47" s="2"/>
    </row>
    <row r="48" spans="1:8">
      <c r="A48" s="73" t="s">
        <v>45</v>
      </c>
      <c r="B48" s="18">
        <v>1</v>
      </c>
      <c r="C48" s="10" t="s">
        <v>3</v>
      </c>
      <c r="D48" s="22">
        <f>ROUND(SUM(G39:G47)*0.1,-3)</f>
        <v>208000</v>
      </c>
      <c r="E48" s="9"/>
      <c r="F48" s="9"/>
      <c r="G48" s="43">
        <f>ROUNDUP(B48*D48,-2)</f>
        <v>208000</v>
      </c>
      <c r="H48" s="2"/>
    </row>
    <row r="49" spans="1:8">
      <c r="A49" s="80" t="s">
        <v>47</v>
      </c>
      <c r="B49" s="81"/>
      <c r="C49" s="82"/>
      <c r="D49" s="83"/>
      <c r="E49" s="85"/>
      <c r="F49" s="83"/>
      <c r="G49" s="84">
        <f>ROUND(SUM(G39:G48)*0.1,-3)</f>
        <v>228000</v>
      </c>
      <c r="H49" s="2"/>
    </row>
    <row r="50" spans="1:8" s="4" customFormat="1">
      <c r="A50" s="74" t="s">
        <v>51</v>
      </c>
      <c r="B50" s="39"/>
      <c r="C50" s="40"/>
      <c r="D50" s="46"/>
      <c r="E50" s="41"/>
      <c r="F50" s="44"/>
      <c r="G50" s="45">
        <f>ROUND(SUM(G39:G49),-3)</f>
        <v>2512000</v>
      </c>
      <c r="H50" s="3"/>
    </row>
    <row r="51" spans="1:8" ht="15.75" thickBot="1">
      <c r="A51" s="76"/>
      <c r="B51" s="47"/>
      <c r="C51" s="48"/>
      <c r="D51" s="49" t="s">
        <v>27</v>
      </c>
      <c r="E51" s="34">
        <f>E18</f>
        <v>6337000</v>
      </c>
      <c r="F51" s="34">
        <f>F37</f>
        <v>5884000</v>
      </c>
      <c r="G51" s="50">
        <f>SUM(G50)</f>
        <v>2512000</v>
      </c>
      <c r="H51" s="2"/>
    </row>
    <row r="52" spans="1:8">
      <c r="A52" s="54" t="s">
        <v>32</v>
      </c>
      <c r="B52" s="55"/>
      <c r="C52" s="56"/>
      <c r="D52" s="57"/>
      <c r="E52" s="58"/>
      <c r="F52" s="58"/>
      <c r="G52" s="59"/>
      <c r="H52" s="2"/>
    </row>
    <row r="53" spans="1:8">
      <c r="A53" s="77" t="s">
        <v>10</v>
      </c>
      <c r="B53" s="17">
        <v>1</v>
      </c>
      <c r="C53" s="12" t="s">
        <v>3</v>
      </c>
      <c r="D53" s="21">
        <v>20000</v>
      </c>
      <c r="E53" s="21"/>
      <c r="F53" s="11"/>
      <c r="G53" s="53">
        <f t="shared" ref="G53:G58" si="3">ROUNDUP(B53*D53,-2)</f>
        <v>20000</v>
      </c>
      <c r="H53" s="2"/>
    </row>
    <row r="54" spans="1:8">
      <c r="A54" s="73" t="s">
        <v>11</v>
      </c>
      <c r="B54" s="18">
        <v>1</v>
      </c>
      <c r="C54" s="10" t="s">
        <v>3</v>
      </c>
      <c r="D54" s="22">
        <v>230000</v>
      </c>
      <c r="E54" s="22"/>
      <c r="F54" s="9"/>
      <c r="G54" s="43">
        <f t="shared" si="3"/>
        <v>230000</v>
      </c>
      <c r="H54" s="2"/>
    </row>
    <row r="55" spans="1:8">
      <c r="A55" s="73" t="s">
        <v>12</v>
      </c>
      <c r="B55" s="18">
        <v>1</v>
      </c>
      <c r="C55" s="10" t="s">
        <v>3</v>
      </c>
      <c r="D55" s="22">
        <v>150000</v>
      </c>
      <c r="E55" s="22"/>
      <c r="F55" s="9"/>
      <c r="G55" s="43">
        <f t="shared" si="3"/>
        <v>150000</v>
      </c>
      <c r="H55" s="2"/>
    </row>
    <row r="56" spans="1:8">
      <c r="A56" s="73" t="s">
        <v>33</v>
      </c>
      <c r="B56" s="18">
        <v>31680</v>
      </c>
      <c r="C56" s="10" t="s">
        <v>4</v>
      </c>
      <c r="D56" s="22">
        <v>1.5</v>
      </c>
      <c r="E56" s="22"/>
      <c r="F56" s="9"/>
      <c r="G56" s="43">
        <f t="shared" si="3"/>
        <v>47600</v>
      </c>
      <c r="H56" s="2"/>
    </row>
    <row r="57" spans="1:8">
      <c r="A57" s="73" t="s">
        <v>14</v>
      </c>
      <c r="B57" s="18">
        <v>10000</v>
      </c>
      <c r="C57" s="10" t="s">
        <v>4</v>
      </c>
      <c r="D57" s="22">
        <v>235</v>
      </c>
      <c r="E57" s="22"/>
      <c r="F57" s="9"/>
      <c r="G57" s="43">
        <f t="shared" si="3"/>
        <v>2350000</v>
      </c>
      <c r="H57" s="2"/>
    </row>
    <row r="58" spans="1:8">
      <c r="A58" s="78" t="s">
        <v>15</v>
      </c>
      <c r="B58" s="68">
        <v>71</v>
      </c>
      <c r="C58" s="69" t="s">
        <v>6</v>
      </c>
      <c r="D58" s="70">
        <v>800</v>
      </c>
      <c r="E58" s="70"/>
      <c r="F58" s="67"/>
      <c r="G58" s="71">
        <f t="shared" si="3"/>
        <v>56800</v>
      </c>
      <c r="H58" s="2"/>
    </row>
    <row r="59" spans="1:8" s="4" customFormat="1" ht="15.75" thickBot="1">
      <c r="A59" s="79" t="s">
        <v>52</v>
      </c>
      <c r="B59" s="61"/>
      <c r="C59" s="62"/>
      <c r="D59" s="63"/>
      <c r="E59" s="64"/>
      <c r="F59" s="60"/>
      <c r="G59" s="65">
        <f>SUM(G53:G58)</f>
        <v>2854400</v>
      </c>
      <c r="H59" s="3"/>
    </row>
    <row r="60" spans="1:8" ht="30" customHeight="1">
      <c r="A60" s="133" t="s">
        <v>53</v>
      </c>
      <c r="B60" s="134"/>
      <c r="C60" s="134"/>
      <c r="D60" s="134"/>
      <c r="E60" s="134"/>
      <c r="F60" s="134"/>
      <c r="G60" s="135"/>
    </row>
  </sheetData>
  <mergeCells count="1">
    <mergeCell ref="A60:G60"/>
  </mergeCells>
  <printOptions horizontalCentered="1"/>
  <pageMargins left="0.25" right="0.25" top="1" bottom="0.75" header="0.3" footer="0.3"/>
  <pageSetup scale="94" fitToHeight="0" orientation="portrait" r:id="rId1"/>
  <headerFooter>
    <oddHeader>&amp;C&amp;"-,Bold"&amp;12Effingham County Recreation and Parks
15-year Implementation Plan
&amp;"-,Regular"&amp;11January 8, 2015</oddHeader>
    <oddFooter>Page &amp;P of &amp;N</oddFooter>
  </headerFooter>
  <rowBreaks count="1" manualBreakCount="1">
    <brk id="37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A28" sqref="A28"/>
    </sheetView>
  </sheetViews>
  <sheetFormatPr defaultRowHeight="15"/>
  <cols>
    <col min="1" max="1" width="17" customWidth="1"/>
    <col min="5" max="5" width="11.5703125" bestFit="1" customWidth="1"/>
    <col min="6" max="6" width="12.5703125" bestFit="1" customWidth="1"/>
  </cols>
  <sheetData>
    <row r="1" spans="1:7">
      <c r="A1" t="s">
        <v>88</v>
      </c>
    </row>
    <row r="2" spans="1:7">
      <c r="A2" t="s">
        <v>81</v>
      </c>
      <c r="C2">
        <v>109342</v>
      </c>
      <c r="D2" t="s">
        <v>4</v>
      </c>
      <c r="E2" s="99">
        <v>0.2</v>
      </c>
      <c r="F2" s="99">
        <f>C2*E2</f>
        <v>21868.400000000001</v>
      </c>
    </row>
    <row r="3" spans="1:7">
      <c r="A3" t="s">
        <v>84</v>
      </c>
      <c r="C3">
        <v>990</v>
      </c>
      <c r="D3" t="s">
        <v>86</v>
      </c>
      <c r="E3" s="99">
        <v>25</v>
      </c>
      <c r="F3" s="99">
        <f t="shared" ref="F3:F10" si="0">C3*E3</f>
        <v>24750</v>
      </c>
      <c r="G3" t="s">
        <v>87</v>
      </c>
    </row>
    <row r="4" spans="1:7">
      <c r="A4" t="s">
        <v>78</v>
      </c>
      <c r="C4">
        <v>81000</v>
      </c>
      <c r="D4" t="s">
        <v>4</v>
      </c>
      <c r="E4" s="99">
        <v>0.4</v>
      </c>
      <c r="F4" s="99">
        <f t="shared" si="0"/>
        <v>32400</v>
      </c>
    </row>
    <row r="5" spans="1:7">
      <c r="A5" t="s">
        <v>79</v>
      </c>
      <c r="C5">
        <v>28342</v>
      </c>
      <c r="D5" t="s">
        <v>4</v>
      </c>
      <c r="E5" s="99">
        <v>2.75</v>
      </c>
      <c r="F5" s="99">
        <f t="shared" si="0"/>
        <v>77940.5</v>
      </c>
    </row>
    <row r="6" spans="1:7">
      <c r="A6" t="s">
        <v>85</v>
      </c>
      <c r="C6">
        <v>1</v>
      </c>
      <c r="D6" t="s">
        <v>3</v>
      </c>
      <c r="E6" s="99">
        <v>45000</v>
      </c>
      <c r="F6" s="99">
        <f t="shared" si="0"/>
        <v>45000</v>
      </c>
    </row>
    <row r="7" spans="1:7">
      <c r="E7" s="99"/>
      <c r="F7" s="99">
        <f>SUM(F2:F6)</f>
        <v>201958.9</v>
      </c>
    </row>
    <row r="8" spans="1:7">
      <c r="A8" t="s">
        <v>77</v>
      </c>
      <c r="C8">
        <v>1290</v>
      </c>
      <c r="D8" t="s">
        <v>67</v>
      </c>
      <c r="E8" s="99">
        <v>36</v>
      </c>
      <c r="F8" s="99">
        <f t="shared" si="0"/>
        <v>46440</v>
      </c>
    </row>
    <row r="9" spans="1:7">
      <c r="A9" t="s">
        <v>80</v>
      </c>
      <c r="C9">
        <v>1</v>
      </c>
      <c r="D9" t="s">
        <v>3</v>
      </c>
      <c r="E9" s="99">
        <v>25000</v>
      </c>
      <c r="F9" s="99">
        <f t="shared" si="0"/>
        <v>25000</v>
      </c>
    </row>
    <row r="10" spans="1:7">
      <c r="A10" t="s">
        <v>82</v>
      </c>
      <c r="C10">
        <v>2</v>
      </c>
      <c r="D10" t="s">
        <v>6</v>
      </c>
      <c r="E10" s="99">
        <v>15000</v>
      </c>
      <c r="F10" s="99">
        <f t="shared" si="0"/>
        <v>30000</v>
      </c>
      <c r="G10" t="s">
        <v>83</v>
      </c>
    </row>
    <row r="11" spans="1:7">
      <c r="F11" s="100">
        <f>SUM(F8:F10)</f>
        <v>101440</v>
      </c>
    </row>
    <row r="13" spans="1:7">
      <c r="A13" t="s">
        <v>93</v>
      </c>
      <c r="F13" s="100">
        <f>F7+F11</f>
        <v>303398.90000000002</v>
      </c>
    </row>
    <row r="14" spans="1:7">
      <c r="F14" s="100"/>
    </row>
    <row r="15" spans="1:7">
      <c r="F15" s="100"/>
    </row>
    <row r="16" spans="1:7">
      <c r="A16" t="s">
        <v>59</v>
      </c>
    </row>
    <row r="17" spans="1:8">
      <c r="A17" t="s">
        <v>81</v>
      </c>
      <c r="C17">
        <v>48604</v>
      </c>
      <c r="D17" t="s">
        <v>4</v>
      </c>
      <c r="E17" s="99">
        <v>0.2</v>
      </c>
      <c r="F17" s="99">
        <f>C17*E17</f>
        <v>9720.8000000000011</v>
      </c>
    </row>
    <row r="18" spans="1:8">
      <c r="A18" t="s">
        <v>84</v>
      </c>
      <c r="C18">
        <v>449</v>
      </c>
      <c r="D18" t="s">
        <v>86</v>
      </c>
      <c r="E18" s="99">
        <v>25</v>
      </c>
      <c r="F18" s="99">
        <f t="shared" ref="F18:F21" si="1">C18*E18</f>
        <v>11225</v>
      </c>
      <c r="G18" t="s">
        <v>87</v>
      </c>
    </row>
    <row r="19" spans="1:8">
      <c r="A19" t="s">
        <v>78</v>
      </c>
      <c r="C19">
        <v>36741</v>
      </c>
      <c r="D19" t="s">
        <v>4</v>
      </c>
      <c r="E19" s="99">
        <v>0.4</v>
      </c>
      <c r="F19" s="99">
        <f t="shared" si="1"/>
        <v>14696.400000000001</v>
      </c>
    </row>
    <row r="20" spans="1:8">
      <c r="A20" t="s">
        <v>79</v>
      </c>
      <c r="C20">
        <v>11863</v>
      </c>
      <c r="D20" t="s">
        <v>4</v>
      </c>
      <c r="E20" s="99">
        <v>2.75</v>
      </c>
      <c r="F20" s="99">
        <f t="shared" si="1"/>
        <v>32623.25</v>
      </c>
      <c r="H20">
        <f>C20+C19</f>
        <v>48604</v>
      </c>
    </row>
    <row r="21" spans="1:8">
      <c r="A21" t="s">
        <v>85</v>
      </c>
      <c r="C21">
        <v>1</v>
      </c>
      <c r="D21" t="s">
        <v>3</v>
      </c>
      <c r="E21" s="99">
        <v>40000</v>
      </c>
      <c r="F21" s="99">
        <f t="shared" si="1"/>
        <v>40000</v>
      </c>
    </row>
    <row r="22" spans="1:8">
      <c r="E22" s="99"/>
      <c r="F22" s="99">
        <f>SUM(F17:F21)</f>
        <v>108265.45000000001</v>
      </c>
    </row>
    <row r="23" spans="1:8">
      <c r="A23" t="s">
        <v>77</v>
      </c>
      <c r="C23">
        <v>780</v>
      </c>
      <c r="D23" t="s">
        <v>67</v>
      </c>
      <c r="E23" s="99">
        <v>36</v>
      </c>
      <c r="F23" s="99">
        <f t="shared" ref="F23:F25" si="2">C23*E23</f>
        <v>28080</v>
      </c>
    </row>
    <row r="24" spans="1:8">
      <c r="A24" t="s">
        <v>80</v>
      </c>
      <c r="C24">
        <v>1</v>
      </c>
      <c r="D24" t="s">
        <v>3</v>
      </c>
      <c r="E24" s="99">
        <v>22000</v>
      </c>
      <c r="F24" s="99">
        <f t="shared" si="2"/>
        <v>22000</v>
      </c>
    </row>
    <row r="25" spans="1:8">
      <c r="A25" t="s">
        <v>82</v>
      </c>
      <c r="C25">
        <v>2</v>
      </c>
      <c r="D25" t="s">
        <v>6</v>
      </c>
      <c r="E25" s="99">
        <v>15000</v>
      </c>
      <c r="F25" s="99">
        <f t="shared" si="2"/>
        <v>30000</v>
      </c>
      <c r="G25" t="s">
        <v>83</v>
      </c>
    </row>
    <row r="26" spans="1:8">
      <c r="F26" s="100">
        <f>SUM(F23:F25)</f>
        <v>80080</v>
      </c>
    </row>
    <row r="28" spans="1:8">
      <c r="A28" t="s">
        <v>96</v>
      </c>
      <c r="F28" s="100">
        <f>F22+F26</f>
        <v>188345.45</v>
      </c>
    </row>
    <row r="30" spans="1:8">
      <c r="A30" t="s">
        <v>89</v>
      </c>
    </row>
    <row r="31" spans="1:8">
      <c r="A31" t="s">
        <v>81</v>
      </c>
      <c r="C31">
        <v>99450</v>
      </c>
      <c r="D31" t="s">
        <v>4</v>
      </c>
      <c r="E31" s="99">
        <v>0.2</v>
      </c>
      <c r="F31" s="99">
        <f>C31*E31</f>
        <v>19890</v>
      </c>
    </row>
    <row r="32" spans="1:8">
      <c r="A32" t="s">
        <v>84</v>
      </c>
      <c r="C32">
        <v>2467</v>
      </c>
      <c r="D32" t="s">
        <v>90</v>
      </c>
      <c r="E32" s="99">
        <v>25</v>
      </c>
      <c r="F32" s="99">
        <f t="shared" ref="F32:F36" si="3">C32*E32</f>
        <v>61675</v>
      </c>
      <c r="G32" t="s">
        <v>87</v>
      </c>
    </row>
    <row r="33" spans="1:6">
      <c r="A33" t="s">
        <v>78</v>
      </c>
      <c r="C33">
        <v>99450</v>
      </c>
      <c r="D33" t="s">
        <v>4</v>
      </c>
      <c r="E33" s="99">
        <v>0.4</v>
      </c>
      <c r="F33" s="99">
        <f t="shared" si="3"/>
        <v>39780</v>
      </c>
    </row>
    <row r="34" spans="1:6">
      <c r="A34" t="s">
        <v>85</v>
      </c>
      <c r="C34">
        <v>1</v>
      </c>
      <c r="D34" t="s">
        <v>3</v>
      </c>
      <c r="E34" s="99">
        <v>45000</v>
      </c>
      <c r="F34" s="99">
        <f t="shared" si="3"/>
        <v>45000</v>
      </c>
    </row>
    <row r="35" spans="1:6">
      <c r="A35" t="s">
        <v>91</v>
      </c>
      <c r="C35">
        <v>510</v>
      </c>
      <c r="D35" t="s">
        <v>67</v>
      </c>
      <c r="E35" s="99">
        <v>24</v>
      </c>
      <c r="F35" s="99">
        <f t="shared" si="3"/>
        <v>12240</v>
      </c>
    </row>
    <row r="36" spans="1:6">
      <c r="A36" t="s">
        <v>92</v>
      </c>
      <c r="C36">
        <v>2</v>
      </c>
      <c r="D36" t="s">
        <v>6</v>
      </c>
      <c r="E36" s="99">
        <v>20000</v>
      </c>
      <c r="F36" s="99">
        <f t="shared" si="3"/>
        <v>40000</v>
      </c>
    </row>
    <row r="37" spans="1:6">
      <c r="F37" s="100">
        <f>SUM(F31:F36)</f>
        <v>218585</v>
      </c>
    </row>
    <row r="42" spans="1:6">
      <c r="A42" t="s">
        <v>95</v>
      </c>
    </row>
    <row r="45" spans="1:6">
      <c r="B4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110518 Update</vt:lpstr>
      <vt:lpstr>Ballfield Unit Pricing</vt:lpstr>
      <vt:lpstr>Irrigation Demand</vt:lpstr>
      <vt:lpstr>Final</vt:lpstr>
      <vt:lpstr>Alt1</vt:lpstr>
      <vt:lpstr>Ballfield Costs</vt:lpstr>
      <vt:lpstr>'110518 Update'!Print_Area</vt:lpstr>
      <vt:lpstr>'Alt1'!Print_Area</vt:lpstr>
      <vt:lpstr>'Ballfield Unit Pricing'!Print_Area</vt:lpstr>
      <vt:lpstr>Final!Print_Area</vt:lpstr>
      <vt:lpstr>'110518 Update'!Print_Titles</vt:lpstr>
      <vt:lpstr>'Alt1'!Print_Titles</vt:lpstr>
      <vt:lpstr>Final!Print_Titles</vt:lpstr>
    </vt:vector>
  </TitlesOfParts>
  <Company>CHA Consulting,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Otwell, Arwen</dc:creator>
  <cp:lastModifiedBy>Conference Room User</cp:lastModifiedBy>
  <cp:lastPrinted>2018-11-19T19:07:55Z</cp:lastPrinted>
  <dcterms:created xsi:type="dcterms:W3CDTF">2014-10-07T11:45:13Z</dcterms:created>
  <dcterms:modified xsi:type="dcterms:W3CDTF">2018-11-20T00:04:32Z</dcterms:modified>
</cp:coreProperties>
</file>